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 FROM HOME\111 GARIS PANDUAN\GARIS PANDUAN GG, KP, COE\KUMPULAN PENYELIDIKAN DAN COE\JPPI 18.08.2022 KUMPULAN\"/>
    </mc:Choice>
  </mc:AlternateContent>
  <xr:revisionPtr revIDLastSave="0" documentId="8_{51EB458D-81AD-4D4A-AA89-1491A2E16E6A}" xr6:coauthVersionLast="47" xr6:coauthVersionMax="47" xr10:uidLastSave="{00000000-0000-0000-0000-000000000000}"/>
  <bookViews>
    <workbookView xWindow="-120" yWindow="-120" windowWidth="29040" windowHeight="15720" tabRatio="616" firstSheet="1" activeTab="1" xr2:uid="{00000000-000D-0000-FFFF-FFFF00000000}"/>
  </bookViews>
  <sheets>
    <sheet name="Seksyen A" sheetId="10" state="hidden" r:id="rId1"/>
    <sheet name="Main" sheetId="18" r:id="rId2"/>
    <sheet name="Data (Section A-H)" sheetId="16" r:id="rId3"/>
    <sheet name="Summary (Section B-H)" sheetId="17" r:id="rId4"/>
    <sheet name="Result" sheetId="14" r:id="rId5"/>
  </sheets>
  <definedNames>
    <definedName name="_xlnm.Print_Area" localSheetId="1">Main!$A$1:$J$81</definedName>
    <definedName name="_xlnm.Print_Area" localSheetId="4">Result!$A$1:$G$18</definedName>
    <definedName name="_xlnm.Print_Area" localSheetId="3">'Summary (Section B-H)'!$B$2:$P$110</definedName>
    <definedName name="_xlnm.Print_Titles" localSheetId="0">'Seksyen A'!$4:$4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6" l="1"/>
  <c r="O38" i="17" s="1"/>
  <c r="E9" i="16"/>
  <c r="K16" i="17" s="1"/>
  <c r="F9" i="16"/>
  <c r="G9" i="16"/>
  <c r="H9" i="16"/>
  <c r="T20" i="17" s="1"/>
  <c r="Y20" i="17" s="1"/>
  <c r="J155" i="16"/>
  <c r="P107" i="17" s="1"/>
  <c r="J15" i="17"/>
  <c r="I10" i="17"/>
  <c r="F50" i="16"/>
  <c r="F30" i="16"/>
  <c r="G50" i="16"/>
  <c r="H50" i="16"/>
  <c r="I50" i="16"/>
  <c r="E50" i="16"/>
  <c r="J50" i="16" s="1"/>
  <c r="F47" i="16"/>
  <c r="G47" i="16"/>
  <c r="G30" i="16" s="1"/>
  <c r="H47" i="16"/>
  <c r="H30" i="16" s="1"/>
  <c r="I47" i="16"/>
  <c r="I30" i="16" s="1"/>
  <c r="E47" i="16"/>
  <c r="E30" i="16" s="1"/>
  <c r="K6" i="17"/>
  <c r="K17" i="17" s="1"/>
  <c r="L6" i="17"/>
  <c r="M6" i="17"/>
  <c r="N6" i="17"/>
  <c r="O6" i="17"/>
  <c r="J10" i="17"/>
  <c r="J11" i="17"/>
  <c r="J12" i="17"/>
  <c r="J13" i="17"/>
  <c r="J14" i="17"/>
  <c r="J16" i="17"/>
  <c r="J17" i="17"/>
  <c r="J18" i="17"/>
  <c r="J19" i="17"/>
  <c r="J20" i="17"/>
  <c r="J21" i="17"/>
  <c r="M21" i="17" s="1"/>
  <c r="N21" i="17"/>
  <c r="J22" i="17"/>
  <c r="E23" i="17"/>
  <c r="J30" i="17"/>
  <c r="J31" i="17"/>
  <c r="J33" i="17"/>
  <c r="J34" i="17"/>
  <c r="J35" i="17"/>
  <c r="L35" i="17" s="1"/>
  <c r="J37" i="17"/>
  <c r="L37" i="17" s="1"/>
  <c r="J38" i="17"/>
  <c r="J39" i="17"/>
  <c r="J40" i="17"/>
  <c r="J41" i="17"/>
  <c r="J42" i="17"/>
  <c r="J43" i="17"/>
  <c r="E44" i="17"/>
  <c r="I50" i="17"/>
  <c r="J50" i="17"/>
  <c r="J51" i="17"/>
  <c r="K52" i="17"/>
  <c r="L52" i="17"/>
  <c r="M52" i="17"/>
  <c r="N52" i="17"/>
  <c r="O52" i="17"/>
  <c r="E53" i="17"/>
  <c r="J65" i="17"/>
  <c r="J70" i="17" s="1"/>
  <c r="D10" i="14" s="1"/>
  <c r="J66" i="17"/>
  <c r="J67" i="17"/>
  <c r="J68" i="17"/>
  <c r="O68" i="17" s="1"/>
  <c r="I69" i="17"/>
  <c r="M69" i="17" s="1"/>
  <c r="J69" i="17"/>
  <c r="E70" i="17"/>
  <c r="J76" i="17"/>
  <c r="L76" i="17" s="1"/>
  <c r="J77" i="17"/>
  <c r="J78" i="17"/>
  <c r="J79" i="17"/>
  <c r="J80" i="17"/>
  <c r="J81" i="17"/>
  <c r="E82" i="17"/>
  <c r="J88" i="17"/>
  <c r="J94" i="17" s="1"/>
  <c r="D12" i="14" s="1"/>
  <c r="J89" i="17"/>
  <c r="N89" i="17" s="1"/>
  <c r="J90" i="17"/>
  <c r="J91" i="17"/>
  <c r="L91" i="17" s="1"/>
  <c r="J92" i="17"/>
  <c r="M92" i="17" s="1"/>
  <c r="J93" i="17"/>
  <c r="L93" i="17"/>
  <c r="E94" i="17"/>
  <c r="J100" i="17"/>
  <c r="J101" i="17"/>
  <c r="K101" i="17" s="1"/>
  <c r="J103" i="17"/>
  <c r="N103" i="17" s="1"/>
  <c r="J105" i="17"/>
  <c r="J107" i="17"/>
  <c r="E109" i="17"/>
  <c r="Q20" i="17"/>
  <c r="V20" i="17" s="1"/>
  <c r="J10" i="16"/>
  <c r="J11" i="16"/>
  <c r="J12" i="16"/>
  <c r="J13" i="16"/>
  <c r="E14" i="16"/>
  <c r="F14" i="16"/>
  <c r="G14" i="16"/>
  <c r="M77" i="17" s="1"/>
  <c r="H14" i="16"/>
  <c r="N78" i="17" s="1"/>
  <c r="I14" i="16"/>
  <c r="L14" i="16"/>
  <c r="K15" i="17" s="1"/>
  <c r="M14" i="16"/>
  <c r="L15" i="17" s="1"/>
  <c r="N14" i="16"/>
  <c r="M15" i="17"/>
  <c r="O14" i="16"/>
  <c r="P14" i="16"/>
  <c r="O15" i="17" s="1"/>
  <c r="J15" i="16"/>
  <c r="J16" i="16"/>
  <c r="J17" i="16"/>
  <c r="J18" i="16"/>
  <c r="E19" i="16"/>
  <c r="F19" i="16"/>
  <c r="G19" i="16"/>
  <c r="H19" i="16"/>
  <c r="I19" i="16"/>
  <c r="J20" i="16"/>
  <c r="J21" i="16"/>
  <c r="E22" i="16"/>
  <c r="F22" i="16"/>
  <c r="G22" i="16"/>
  <c r="H22" i="16"/>
  <c r="I22" i="16"/>
  <c r="O43" i="17" s="1"/>
  <c r="E23" i="16"/>
  <c r="K43" i="17" s="1"/>
  <c r="F23" i="16"/>
  <c r="G23" i="16"/>
  <c r="H23" i="16"/>
  <c r="N43" i="17" s="1"/>
  <c r="I23" i="16"/>
  <c r="J24" i="16"/>
  <c r="J25" i="16"/>
  <c r="J26" i="16"/>
  <c r="J27" i="16"/>
  <c r="J28" i="16"/>
  <c r="J29" i="16"/>
  <c r="E35" i="16"/>
  <c r="F35" i="16"/>
  <c r="F31" i="16"/>
  <c r="G35" i="16"/>
  <c r="G31" i="16" s="1"/>
  <c r="H35" i="16"/>
  <c r="H31" i="16" s="1"/>
  <c r="I35" i="16"/>
  <c r="I31" i="16" s="1"/>
  <c r="J36" i="16"/>
  <c r="J37" i="16"/>
  <c r="E38" i="16"/>
  <c r="E32" i="16" s="1"/>
  <c r="F38" i="16"/>
  <c r="G38" i="16"/>
  <c r="G32" i="16" s="1"/>
  <c r="H38" i="16"/>
  <c r="H32" i="16"/>
  <c r="I38" i="16"/>
  <c r="I32" i="16" s="1"/>
  <c r="J39" i="16"/>
  <c r="J40" i="16"/>
  <c r="E41" i="16"/>
  <c r="E33" i="16" s="1"/>
  <c r="F41" i="16"/>
  <c r="G41" i="16"/>
  <c r="H41" i="16"/>
  <c r="H33" i="16"/>
  <c r="I41" i="16"/>
  <c r="I33" i="16" s="1"/>
  <c r="J42" i="16"/>
  <c r="J43" i="16"/>
  <c r="E44" i="16"/>
  <c r="E34" i="16" s="1"/>
  <c r="F44" i="16"/>
  <c r="F34" i="16" s="1"/>
  <c r="G44" i="16"/>
  <c r="J44" i="16" s="1"/>
  <c r="G34" i="16"/>
  <c r="H44" i="16"/>
  <c r="H34" i="16" s="1"/>
  <c r="I44" i="16"/>
  <c r="I34" i="16" s="1"/>
  <c r="J45" i="16"/>
  <c r="J46" i="16"/>
  <c r="J48" i="16"/>
  <c r="J49" i="16"/>
  <c r="J51" i="16"/>
  <c r="J52" i="16"/>
  <c r="J53" i="16"/>
  <c r="J54" i="16"/>
  <c r="J55" i="16"/>
  <c r="J56" i="16"/>
  <c r="E60" i="16"/>
  <c r="K7" i="17" s="1"/>
  <c r="F60" i="16"/>
  <c r="J60" i="16" s="1"/>
  <c r="L7" i="17"/>
  <c r="L12" i="17" s="1"/>
  <c r="G60" i="16"/>
  <c r="M7" i="17" s="1"/>
  <c r="H60" i="16"/>
  <c r="N7" i="17" s="1"/>
  <c r="I60" i="16"/>
  <c r="O7" i="17" s="1"/>
  <c r="J61" i="16"/>
  <c r="J62" i="16"/>
  <c r="J63" i="16"/>
  <c r="J64" i="16"/>
  <c r="J66" i="16"/>
  <c r="J67" i="16"/>
  <c r="E68" i="16"/>
  <c r="F68" i="16"/>
  <c r="G68" i="16"/>
  <c r="H68" i="16"/>
  <c r="I68" i="16"/>
  <c r="J69" i="16"/>
  <c r="J70" i="16"/>
  <c r="J71" i="16"/>
  <c r="J72" i="16"/>
  <c r="E78" i="16"/>
  <c r="F78" i="16"/>
  <c r="G78" i="16"/>
  <c r="H78" i="16"/>
  <c r="I78" i="16"/>
  <c r="J79" i="16"/>
  <c r="J80" i="16"/>
  <c r="E81" i="16"/>
  <c r="F81" i="16"/>
  <c r="G81" i="16"/>
  <c r="H81" i="16"/>
  <c r="I81" i="16"/>
  <c r="J82" i="16"/>
  <c r="J83" i="16"/>
  <c r="J84" i="16"/>
  <c r="E85" i="16"/>
  <c r="F85" i="16"/>
  <c r="G85" i="16"/>
  <c r="H85" i="16"/>
  <c r="I85" i="16"/>
  <c r="J86" i="16"/>
  <c r="J87" i="16"/>
  <c r="J88" i="16"/>
  <c r="K39" i="17" s="1"/>
  <c r="P39" i="17" s="1"/>
  <c r="J89" i="16"/>
  <c r="J90" i="16"/>
  <c r="J91" i="16"/>
  <c r="J92" i="16"/>
  <c r="J93" i="16"/>
  <c r="E99" i="16"/>
  <c r="J99" i="16" s="1"/>
  <c r="F99" i="16"/>
  <c r="G99" i="16"/>
  <c r="H99" i="16"/>
  <c r="N51" i="17" s="1"/>
  <c r="I99" i="16"/>
  <c r="J100" i="16"/>
  <c r="P51" i="17" s="1"/>
  <c r="J101" i="16"/>
  <c r="P52" i="17" s="1"/>
  <c r="E107" i="16"/>
  <c r="J107" i="16" s="1"/>
  <c r="E113" i="16"/>
  <c r="K65" i="17" s="1"/>
  <c r="F107" i="16"/>
  <c r="F113" i="16" s="1"/>
  <c r="G107" i="16"/>
  <c r="G113" i="16" s="1"/>
  <c r="M65" i="17" s="1"/>
  <c r="H107" i="16"/>
  <c r="H113" i="16"/>
  <c r="N65" i="17" s="1"/>
  <c r="I107" i="16"/>
  <c r="I113" i="16"/>
  <c r="O65" i="17" s="1"/>
  <c r="J108" i="16"/>
  <c r="J109" i="16"/>
  <c r="E110" i="16"/>
  <c r="E114" i="16" s="1"/>
  <c r="F110" i="16"/>
  <c r="F114" i="16" s="1"/>
  <c r="L66" i="17" s="1"/>
  <c r="G110" i="16"/>
  <c r="G114" i="16" s="1"/>
  <c r="M66" i="17" s="1"/>
  <c r="H110" i="16"/>
  <c r="H114" i="16" s="1"/>
  <c r="N66" i="17" s="1"/>
  <c r="I110" i="16"/>
  <c r="I114" i="16" s="1"/>
  <c r="O66" i="17" s="1"/>
  <c r="J111" i="16"/>
  <c r="J112" i="16"/>
  <c r="J115" i="16"/>
  <c r="P67" i="17" s="1"/>
  <c r="J116" i="16"/>
  <c r="J117" i="16"/>
  <c r="J123" i="16"/>
  <c r="J124" i="16"/>
  <c r="J125" i="16"/>
  <c r="J126" i="16"/>
  <c r="J127" i="16"/>
  <c r="P80" i="17" s="1"/>
  <c r="J128" i="16"/>
  <c r="P81" i="17" s="1"/>
  <c r="E134" i="16"/>
  <c r="F134" i="16"/>
  <c r="G134" i="16"/>
  <c r="H134" i="16"/>
  <c r="I134" i="16"/>
  <c r="J135" i="16"/>
  <c r="J136" i="16"/>
  <c r="J137" i="16"/>
  <c r="P89" i="17" s="1"/>
  <c r="J138" i="16"/>
  <c r="K90" i="17" s="1"/>
  <c r="P90" i="17"/>
  <c r="J139" i="16"/>
  <c r="J140" i="16"/>
  <c r="P92" i="17" s="1"/>
  <c r="J141" i="16"/>
  <c r="P93" i="17" s="1"/>
  <c r="J147" i="16"/>
  <c r="J148" i="16"/>
  <c r="P101" i="17" s="1"/>
  <c r="J150" i="16"/>
  <c r="P103" i="17"/>
  <c r="J152" i="16"/>
  <c r="P105" i="17" s="1"/>
  <c r="J153" i="16"/>
  <c r="R20" i="17"/>
  <c r="W20" i="17" s="1"/>
  <c r="R19" i="17"/>
  <c r="W19" i="17" s="1"/>
  <c r="L19" i="17" s="1"/>
  <c r="L17" i="17"/>
  <c r="M93" i="17"/>
  <c r="L21" i="17"/>
  <c r="J65" i="16"/>
  <c r="L31" i="17"/>
  <c r="M17" i="17"/>
  <c r="T19" i="17"/>
  <c r="Y19" i="17" s="1"/>
  <c r="N19" i="17" s="1"/>
  <c r="L22" i="17"/>
  <c r="N100" i="17"/>
  <c r="M22" i="17"/>
  <c r="M78" i="17"/>
  <c r="L78" i="17"/>
  <c r="O103" i="17"/>
  <c r="K103" i="17"/>
  <c r="N92" i="17"/>
  <c r="K22" i="17"/>
  <c r="N15" i="17"/>
  <c r="N77" i="17"/>
  <c r="L92" i="17"/>
  <c r="L51" i="17"/>
  <c r="K69" i="17"/>
  <c r="O17" i="17"/>
  <c r="L69" i="17"/>
  <c r="O69" i="17"/>
  <c r="N69" i="17"/>
  <c r="G33" i="16"/>
  <c r="E31" i="16"/>
  <c r="M33" i="17"/>
  <c r="M41" i="17"/>
  <c r="L107" i="17"/>
  <c r="N107" i="17"/>
  <c r="N91" i="17"/>
  <c r="N17" i="17"/>
  <c r="N16" i="17"/>
  <c r="J47" i="16"/>
  <c r="L40" i="17"/>
  <c r="M35" i="17"/>
  <c r="O22" i="17"/>
  <c r="N22" i="17"/>
  <c r="K93" i="17"/>
  <c r="M107" i="17"/>
  <c r="O107" i="17"/>
  <c r="M91" i="17"/>
  <c r="K107" i="17"/>
  <c r="O91" i="17"/>
  <c r="L105" i="17"/>
  <c r="N105" i="17"/>
  <c r="K105" i="17"/>
  <c r="O105" i="17"/>
  <c r="L100" i="17"/>
  <c r="O100" i="17"/>
  <c r="M100" i="17"/>
  <c r="O31" i="17"/>
  <c r="M31" i="17"/>
  <c r="N31" i="17"/>
  <c r="K31" i="17"/>
  <c r="N30" i="17"/>
  <c r="K100" i="17"/>
  <c r="N42" i="17"/>
  <c r="O33" i="17"/>
  <c r="P100" i="17"/>
  <c r="P91" i="17"/>
  <c r="J110" i="16"/>
  <c r="O40" i="17"/>
  <c r="L38" i="17"/>
  <c r="L77" i="17"/>
  <c r="S19" i="17"/>
  <c r="X19" i="17"/>
  <c r="M19" i="17" s="1"/>
  <c r="S20" i="17"/>
  <c r="X20" i="17" s="1"/>
  <c r="M20" i="17" s="1"/>
  <c r="O101" i="17"/>
  <c r="M101" i="17"/>
  <c r="L101" i="17"/>
  <c r="K91" i="17"/>
  <c r="J109" i="17"/>
  <c r="D13" i="14"/>
  <c r="M105" i="17"/>
  <c r="K81" i="17"/>
  <c r="F33" i="16"/>
  <c r="N33" i="17"/>
  <c r="J19" i="16"/>
  <c r="O51" i="17"/>
  <c r="J53" i="17"/>
  <c r="D9" i="14"/>
  <c r="L16" i="17"/>
  <c r="J23" i="17"/>
  <c r="D7" i="14" s="1"/>
  <c r="M16" i="17"/>
  <c r="O89" i="17"/>
  <c r="P68" i="17"/>
  <c r="L34" i="17"/>
  <c r="L68" i="17"/>
  <c r="P69" i="17"/>
  <c r="M68" i="17"/>
  <c r="K77" i="17"/>
  <c r="M30" i="17"/>
  <c r="M103" i="17"/>
  <c r="M109" i="17" s="1"/>
  <c r="N68" i="17"/>
  <c r="M43" i="17"/>
  <c r="K68" i="17"/>
  <c r="O93" i="17"/>
  <c r="K79" i="17"/>
  <c r="L42" i="17"/>
  <c r="K92" i="17"/>
  <c r="M51" i="17"/>
  <c r="L103" i="17"/>
  <c r="N93" i="17"/>
  <c r="L79" i="17"/>
  <c r="L30" i="17"/>
  <c r="O92" i="17"/>
  <c r="F32" i="16"/>
  <c r="L41" i="17"/>
  <c r="O78" i="17" l="1"/>
  <c r="U19" i="17"/>
  <c r="Z19" i="17" s="1"/>
  <c r="O19" i="17" s="1"/>
  <c r="O16" i="17"/>
  <c r="U20" i="17"/>
  <c r="Z20" i="17" s="1"/>
  <c r="O20" i="17" s="1"/>
  <c r="O35" i="17"/>
  <c r="O79" i="17"/>
  <c r="O50" i="17"/>
  <c r="O53" i="17" s="1"/>
  <c r="O77" i="17"/>
  <c r="O34" i="17"/>
  <c r="J9" i="16"/>
  <c r="P79" i="17" s="1"/>
  <c r="P16" i="17"/>
  <c r="P108" i="17"/>
  <c r="P109" i="17" s="1"/>
  <c r="E13" i="14" s="1"/>
  <c r="K12" i="17"/>
  <c r="K11" i="17"/>
  <c r="K13" i="17"/>
  <c r="O12" i="17"/>
  <c r="O11" i="17"/>
  <c r="O14" i="17"/>
  <c r="K40" i="17"/>
  <c r="K78" i="17"/>
  <c r="K38" i="17"/>
  <c r="M37" i="17"/>
  <c r="L109" i="17"/>
  <c r="N76" i="17"/>
  <c r="O21" i="17"/>
  <c r="K80" i="17"/>
  <c r="L50" i="17"/>
  <c r="L53" i="17" s="1"/>
  <c r="J14" i="16"/>
  <c r="O88" i="17"/>
  <c r="O94" i="17" s="1"/>
  <c r="L14" i="17"/>
  <c r="K109" i="17"/>
  <c r="O41" i="17"/>
  <c r="K51" i="17"/>
  <c r="J68" i="16"/>
  <c r="K76" i="17"/>
  <c r="M79" i="17"/>
  <c r="K34" i="17"/>
  <c r="M34" i="17"/>
  <c r="L13" i="17"/>
  <c r="O30" i="17"/>
  <c r="N40" i="17"/>
  <c r="J82" i="17"/>
  <c r="D11" i="14" s="1"/>
  <c r="P22" i="17"/>
  <c r="M88" i="17"/>
  <c r="J22" i="16"/>
  <c r="N34" i="17"/>
  <c r="K50" i="17"/>
  <c r="J23" i="16"/>
  <c r="O76" i="17"/>
  <c r="N38" i="17"/>
  <c r="K41" i="17"/>
  <c r="K35" i="17"/>
  <c r="K30" i="17"/>
  <c r="L11" i="17"/>
  <c r="N88" i="17"/>
  <c r="N94" i="17" s="1"/>
  <c r="N37" i="17"/>
  <c r="P17" i="17"/>
  <c r="J78" i="16"/>
  <c r="L43" i="17"/>
  <c r="N79" i="17"/>
  <c r="J44" i="17"/>
  <c r="D8" i="14" s="1"/>
  <c r="J30" i="16"/>
  <c r="K37" i="17"/>
  <c r="L88" i="17"/>
  <c r="O109" i="17"/>
  <c r="M38" i="17"/>
  <c r="N35" i="17"/>
  <c r="O42" i="17"/>
  <c r="J134" i="16"/>
  <c r="P88" i="17" s="1"/>
  <c r="P94" i="17" s="1"/>
  <c r="E12" i="14" s="1"/>
  <c r="J85" i="16"/>
  <c r="J81" i="16"/>
  <c r="J33" i="16"/>
  <c r="K42" i="17"/>
  <c r="J35" i="16"/>
  <c r="M76" i="17"/>
  <c r="J31" i="16"/>
  <c r="Q19" i="17"/>
  <c r="V19" i="17" s="1"/>
  <c r="K19" i="17" s="1"/>
  <c r="M50" i="17"/>
  <c r="M53" i="17" s="1"/>
  <c r="P15" i="17"/>
  <c r="K89" i="17"/>
  <c r="J114" i="16"/>
  <c r="P66" i="17" s="1"/>
  <c r="K66" i="17"/>
  <c r="N14" i="17"/>
  <c r="N11" i="17"/>
  <c r="N12" i="17"/>
  <c r="N13" i="17"/>
  <c r="L65" i="17"/>
  <c r="J113" i="16"/>
  <c r="P65" i="17" s="1"/>
  <c r="P70" i="17" s="1"/>
  <c r="E10" i="14" s="1"/>
  <c r="D14" i="14"/>
  <c r="M14" i="17"/>
  <c r="M12" i="17"/>
  <c r="M13" i="17"/>
  <c r="M11" i="17"/>
  <c r="K20" i="17"/>
  <c r="P33" i="17"/>
  <c r="P30" i="17"/>
  <c r="P43" i="17"/>
  <c r="P42" i="17"/>
  <c r="P41" i="17"/>
  <c r="J34" i="16"/>
  <c r="J32" i="16"/>
  <c r="K21" i="17"/>
  <c r="P21" i="17" s="1"/>
  <c r="N50" i="17"/>
  <c r="N53" i="17" s="1"/>
  <c r="L20" i="17"/>
  <c r="L23" i="17" s="1"/>
  <c r="K88" i="17"/>
  <c r="K94" i="17" s="1"/>
  <c r="J38" i="16"/>
  <c r="M42" i="17"/>
  <c r="L33" i="17"/>
  <c r="L44" i="17" s="1"/>
  <c r="L89" i="17"/>
  <c r="P31" i="17"/>
  <c r="O13" i="17"/>
  <c r="N20" i="17"/>
  <c r="M89" i="17"/>
  <c r="M94" i="17" s="1"/>
  <c r="K33" i="17"/>
  <c r="N41" i="17"/>
  <c r="K14" i="17"/>
  <c r="M40" i="17"/>
  <c r="O37" i="17"/>
  <c r="O44" i="17" s="1"/>
  <c r="K67" i="17"/>
  <c r="N101" i="17"/>
  <c r="N109" i="17" s="1"/>
  <c r="J41" i="16"/>
  <c r="P19" i="17" l="1"/>
  <c r="P40" i="17"/>
  <c r="P11" i="17"/>
  <c r="P78" i="17"/>
  <c r="P37" i="17"/>
  <c r="P38" i="17"/>
  <c r="P76" i="17"/>
  <c r="P50" i="17"/>
  <c r="P53" i="17" s="1"/>
  <c r="E9" i="14" s="1"/>
  <c r="P34" i="17"/>
  <c r="P77" i="17"/>
  <c r="K23" i="17"/>
  <c r="P35" i="17"/>
  <c r="K44" i="17"/>
  <c r="P12" i="17"/>
  <c r="N44" i="17"/>
  <c r="P20" i="17"/>
  <c r="P13" i="17"/>
  <c r="K53" i="17"/>
  <c r="N82" i="17"/>
  <c r="O82" i="17"/>
  <c r="O23" i="17"/>
  <c r="L82" i="17"/>
  <c r="M44" i="17"/>
  <c r="L94" i="17"/>
  <c r="M82" i="17"/>
  <c r="K82" i="17"/>
  <c r="N70" i="17"/>
  <c r="L70" i="17"/>
  <c r="M70" i="17"/>
  <c r="O70" i="17"/>
  <c r="N23" i="17"/>
  <c r="K70" i="17"/>
  <c r="P14" i="17"/>
  <c r="M23" i="17"/>
  <c r="P44" i="17" l="1"/>
  <c r="E8" i="14" s="1"/>
  <c r="P82" i="17"/>
  <c r="E11" i="14" s="1"/>
  <c r="P23" i="17"/>
  <c r="E7" i="14" s="1"/>
  <c r="E22" i="14" s="1"/>
  <c r="E14" i="14" l="1"/>
  <c r="E21" i="14" s="1"/>
</calcChain>
</file>

<file path=xl/sharedStrings.xml><?xml version="1.0" encoding="utf-8"?>
<sst xmlns="http://schemas.openxmlformats.org/spreadsheetml/2006/main" count="579" uniqueCount="356">
  <si>
    <t>Commercialized products</t>
  </si>
  <si>
    <t>Technology know-how licensing</t>
  </si>
  <si>
    <t xml:space="preserve">Publications
</t>
  </si>
  <si>
    <t>Endowment (including professorial chairs)</t>
  </si>
  <si>
    <t>Total Mark for Section E</t>
  </si>
  <si>
    <t xml:space="preserve">Research grants for academic staff 
</t>
  </si>
  <si>
    <t>-</t>
  </si>
  <si>
    <t>Unit Data</t>
  </si>
  <si>
    <t>% of staff</t>
  </si>
  <si>
    <t>no./staff</t>
  </si>
  <si>
    <t>RM/staff</t>
  </si>
  <si>
    <t>Doctoral Level Coursework (Local)</t>
  </si>
  <si>
    <t>Doctoral Level Coursework (Foreign)</t>
  </si>
  <si>
    <t>2(iii)</t>
  </si>
  <si>
    <t>Number of PhD (research mode*) graduated in the year</t>
  </si>
  <si>
    <t>SECTION A:  General Information</t>
  </si>
  <si>
    <t>No.</t>
  </si>
  <si>
    <t>Data</t>
  </si>
  <si>
    <t>Glosari</t>
  </si>
  <si>
    <t>1(a)</t>
  </si>
  <si>
    <t>Number of  Academic Staffs</t>
  </si>
  <si>
    <t>Bilangan staf akademik (tetap/kontrak) berjawatan Profesor, Profesor Madya, Pensyarah Kanan dan Pensyarah termasuk yang bercuti belajar, bercuti sabatikal, dipinjamkan ke organisasi luar USM dan bercuti bagi mengikuti latihan / attachment.</t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</si>
  <si>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Tahoma"/>
        <family val="2"/>
      </rPr>
      <t>Professors</t>
    </r>
  </si>
  <si>
    <r>
      <t>b.</t>
    </r>
    <r>
      <rPr>
        <sz val="7"/>
        <rFont val="Times New Roman"/>
        <family val="1"/>
      </rPr>
      <t>     </t>
    </r>
    <r>
      <rPr>
        <sz val="10"/>
        <rFont val="Tahoma"/>
        <family val="2"/>
      </rPr>
      <t>Associate Professors</t>
    </r>
  </si>
  <si>
    <r>
      <t>c.</t>
    </r>
    <r>
      <rPr>
        <sz val="7"/>
        <rFont val="Times New Roman"/>
        <family val="1"/>
      </rPr>
      <t>      </t>
    </r>
    <r>
      <rPr>
        <sz val="10"/>
        <rFont val="Tahoma"/>
        <family val="2"/>
      </rPr>
      <t>Senior Lecturers</t>
    </r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</si>
  <si>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Tahoma"/>
        <family val="2"/>
      </rPr>
      <t>Lecturers</t>
    </r>
  </si>
  <si>
    <t>1(b)</t>
  </si>
  <si>
    <t>Number of  Academic Staffs (not on study leave)</t>
  </si>
  <si>
    <t>No</t>
  </si>
  <si>
    <t>Kriteria</t>
  </si>
  <si>
    <t>KPI</t>
  </si>
  <si>
    <t>Weightage</t>
  </si>
  <si>
    <t>Critical Mass</t>
  </si>
  <si>
    <t>Total Mark for Section B</t>
  </si>
  <si>
    <t>Total Mark for Section D</t>
  </si>
  <si>
    <t xml:space="preserve">Bilangan staf akademik (tetap/kontrak) berjawatan Profesor, Profesor Madya, Pensyarah Kanan dan Pensyarah tidak termasuk yang bercuti belajar, bercuti tanpa/separuh gaji atau dipinjamkan ke organisasi luar USM sepanjang tahun berkenaan.  
Data:  Tidak termasuk guru.
Tidak termasuk Pensyarah Pelatih/Tutor
Tidak termasuk Post-doctoral.
Nota :
• Definasi cuti belajar bermaksud belajar untuk tujuan Ijazah Tinggi.
• Bagi staf yang khidmatnya kurang daripada 6 bulan di PTJ tidak perlu dimasukkan pada tahun berkenaan dan boleh dimasukkan pada tahun hadapan.
• Bagi PTJ yang ada felo, masukkan mereka yang mempunyai sumbangan.
• Bagi Pusat Kecemerlangan, pastikan bilangan minima staf akademik/felo  adalah  ≥  5. 
Bahan bukti yang perlu disediakan :
Surat lantikan staf / surat lantikan felo / Senarai Pemeriksa yang diluluskan oleh Senat / maklumat perkhidmatan daripada sistem e-CV Sistem Maklumat Universiti – Staf (SMU-S).
</t>
  </si>
  <si>
    <r>
      <t>a.</t>
    </r>
    <r>
      <rPr>
        <sz val="7"/>
        <rFont val="Times New Roman"/>
        <family val="1"/>
      </rPr>
      <t>     </t>
    </r>
    <r>
      <rPr>
        <sz val="10"/>
        <rFont val="Tahoma"/>
        <family val="2"/>
      </rPr>
      <t>Professors</t>
    </r>
  </si>
  <si>
    <r>
      <t>b.</t>
    </r>
    <r>
      <rPr>
        <sz val="7"/>
        <rFont val="Times New Roman"/>
        <family val="1"/>
      </rPr>
      <t>    </t>
    </r>
    <r>
      <rPr>
        <sz val="10"/>
        <rFont val="Tahoma"/>
        <family val="2"/>
      </rPr>
      <t>Associate Professors</t>
    </r>
  </si>
  <si>
    <r>
      <t>c.</t>
    </r>
    <r>
      <rPr>
        <sz val="7"/>
        <rFont val="Times New Roman"/>
        <family val="1"/>
      </rPr>
      <t>     </t>
    </r>
    <r>
      <rPr>
        <sz val="10"/>
        <rFont val="Tahoma"/>
        <family val="2"/>
      </rPr>
      <t>Senior Lecturers</t>
    </r>
  </si>
  <si>
    <r>
      <t>d.</t>
    </r>
    <r>
      <rPr>
        <sz val="7"/>
        <rFont val="Times New Roman"/>
        <family val="1"/>
      </rPr>
      <t xml:space="preserve">    </t>
    </r>
    <r>
      <rPr>
        <sz val="10"/>
        <rFont val="Tahoma"/>
        <family val="2"/>
      </rPr>
      <t>Lecturers</t>
    </r>
  </si>
  <si>
    <t>1(c)</t>
  </si>
  <si>
    <t>Total Number of S&amp;T Academic Staff (not on study leave)</t>
  </si>
  <si>
    <t>Total Number of non-S&amp;T Academic Staff (not on study leave)</t>
  </si>
  <si>
    <t>1(d)</t>
  </si>
  <si>
    <t>Total No. of Foreign Academic Staff</t>
  </si>
  <si>
    <t>2(i)</t>
  </si>
  <si>
    <t>Total number of fulltime students ( local and international students including post-graduate students)</t>
  </si>
  <si>
    <t>(i)  Number of local and foreign undergraduate students. Provide separate data for local and international students.</t>
  </si>
  <si>
    <r>
      <t>a.</t>
    </r>
    <r>
      <rPr>
        <sz val="7"/>
        <rFont val="Times New Roman"/>
        <family val="1"/>
      </rPr>
      <t>    </t>
    </r>
    <r>
      <rPr>
        <sz val="10"/>
        <rFont val="Tahoma"/>
        <family val="2"/>
      </rPr>
      <t>Bachelor (LOCAL)</t>
    </r>
  </si>
  <si>
    <r>
      <t>b.</t>
    </r>
    <r>
      <rPr>
        <sz val="7"/>
        <rFont val="Times New Roman"/>
        <family val="1"/>
      </rPr>
      <t>    </t>
    </r>
    <r>
      <rPr>
        <sz val="10"/>
        <rFont val="Tahoma"/>
        <family val="2"/>
      </rPr>
      <t>Bachelor (FOREIGN)</t>
    </r>
  </si>
  <si>
    <r>
      <t>b.</t>
    </r>
    <r>
      <rPr>
        <sz val="7"/>
        <rFont val="Times New Roman"/>
        <family val="1"/>
      </rPr>
      <t xml:space="preserve">               </t>
    </r>
    <r>
      <rPr>
        <sz val="10"/>
        <rFont val="Tahoma"/>
        <family val="2"/>
      </rPr>
      <t>Diploma</t>
    </r>
  </si>
  <si>
    <r>
      <t>c.</t>
    </r>
    <r>
      <rPr>
        <sz val="7"/>
        <rFont val="Times New Roman"/>
        <family val="1"/>
      </rPr>
      <t xml:space="preserve">                </t>
    </r>
    <r>
      <rPr>
        <sz val="10"/>
        <rFont val="Tahoma"/>
        <family val="2"/>
      </rPr>
      <t>Certificate</t>
    </r>
  </si>
  <si>
    <r>
      <t>d.</t>
    </r>
    <r>
      <rPr>
        <sz val="7"/>
        <rFont val="Times New Roman"/>
        <family val="1"/>
      </rPr>
      <t xml:space="preserve">               </t>
    </r>
    <r>
      <rPr>
        <sz val="10"/>
        <rFont val="Tahoma"/>
        <family val="2"/>
      </rPr>
      <t>Others (Foundation Programme: Asasi Sains Pertanian)</t>
    </r>
  </si>
  <si>
    <t>2(ii)</t>
  </si>
  <si>
    <t xml:space="preserve">Number of local and foreign POSTGRADUATE students. </t>
  </si>
  <si>
    <t>PhD</t>
  </si>
  <si>
    <t xml:space="preserve">Postgraduates by Research </t>
  </si>
  <si>
    <t>Postgraduates (Foreign)</t>
  </si>
  <si>
    <t xml:space="preserve">Bilangan graduan PhD / master yang diiktiraf oleh Senat dalam tahun yang dinilai.
Bahan bukti :
Senarai graduan daripada petikan Mesyuarat Senat. </t>
  </si>
  <si>
    <t>2(iv)</t>
  </si>
  <si>
    <t>Number of Master (research mode*) graduated in the year</t>
  </si>
  <si>
    <t xml:space="preserve">Bilangan pelajar ijazah pertama dan ijazah tinggi termasuk warganegara dan bukan warganegara yang berdaftar (enrolmen).
 Data:
Ijazah pertama: Enrolmen pelajar termasuk yang aktif, diberi cuti dengan kebenaran/penangguhan pengajian.
Ijazah tinggi: Enrolmen pelajar termasuk yang aktif, tamat pengajian, diberhentikan, menarik diri, gagal, penangguhan pada tahun yang dinilai.  
Nota:
• Mixed Mode is defined as not &lt; 70% research (not &gt; 30% coursework). If less than 70%, the student do not contribute to RU agenda.
• Pelajar mixed mode yang tidak memenuhi kriteria 70:30, boleh dimasukkan dalam coursework.
Bahan bukti yang perlu disediakan:
Bagi pelajar ijazah tinggi mod penyelidikan - surat pengesahan pendaftaran daripada IPS / maklumat pengajian pelajar daripada Sistem Maklumat Universiti – Pelajar (SMU-P).  
Bagi pelajar ijazah tinggi mixed mode dan coursework  - surat tawaran / resit pembayaran bagi pendaftaran kursus / maklumat pengajian pelajar daripada SMU-P.
</t>
  </si>
  <si>
    <t xml:space="preserve">b. National Grants </t>
  </si>
  <si>
    <t xml:space="preserve">a. University Funded </t>
  </si>
  <si>
    <t>%</t>
  </si>
  <si>
    <t>Total Mark for Section C</t>
  </si>
  <si>
    <t>Bilangan Pusat Penyelidikan/Institut yang mempunyai pelajar pasca siswazah dan
bajet mengurus.</t>
  </si>
  <si>
    <t>d. International Grants</t>
  </si>
  <si>
    <t>Number of research centers/institute with operating budget and/or having post graduate students</t>
  </si>
  <si>
    <t>Master Research (Local)</t>
  </si>
  <si>
    <t>Master Research (Foreign)</t>
  </si>
  <si>
    <t>Master coursework (Local)</t>
  </si>
  <si>
    <t>Master coursework (Foreign)</t>
  </si>
  <si>
    <t>PhD (Local)</t>
  </si>
  <si>
    <t>PhD (Foreign)</t>
  </si>
  <si>
    <r>
      <t xml:space="preserve">SUMMARY INSTRUMENT  MyRA </t>
    </r>
    <r>
      <rPr>
        <b/>
        <sz val="14"/>
        <rFont val="Arial Narrow"/>
        <family val="2"/>
      </rPr>
      <t xml:space="preserve">I </t>
    </r>
  </si>
  <si>
    <t xml:space="preserve">Benchmark </t>
  </si>
  <si>
    <t>Percent of S&amp;T Academic Staff (not on study leave)</t>
  </si>
  <si>
    <t xml:space="preserve">% </t>
  </si>
  <si>
    <t>Post-doctoral appointments</t>
  </si>
  <si>
    <t>Sub-Weightage</t>
  </si>
  <si>
    <t>PhD or Professional Qualification</t>
  </si>
  <si>
    <t>Percent of academic staff involved as principal investigator of research grants</t>
  </si>
  <si>
    <t>c. Industry Grants</t>
  </si>
  <si>
    <t>Sub-sub weightage</t>
  </si>
  <si>
    <t>Awards/stewardship conferred by national and international learned and professional bodies towards research excellence</t>
  </si>
  <si>
    <t xml:space="preserve">    (ii) Conference proceedings </t>
  </si>
  <si>
    <t>Gifts (money, equipments, research materials, etc.)  worth ≥ RM 3,000.00 each</t>
  </si>
  <si>
    <t>Product patenting</t>
  </si>
  <si>
    <t>Total Amount (RM in millions)</t>
  </si>
  <si>
    <t>a. Publication Impact</t>
  </si>
  <si>
    <t>Benchmark Scores</t>
  </si>
  <si>
    <t>Total number of staff in each age group:</t>
  </si>
  <si>
    <t>SECTION</t>
  </si>
  <si>
    <t>CRITERIA</t>
  </si>
  <si>
    <t>FULL MARK SCORE</t>
  </si>
  <si>
    <t>ACTUAL SCORE</t>
  </si>
  <si>
    <t>REMARK</t>
  </si>
  <si>
    <t>B</t>
  </si>
  <si>
    <t>C</t>
  </si>
  <si>
    <t>D</t>
  </si>
  <si>
    <t>E</t>
  </si>
  <si>
    <t>TOTAL</t>
  </si>
  <si>
    <t>Quantity and Quality of Researchers</t>
  </si>
  <si>
    <t xml:space="preserve">Quantity and Quality of Research </t>
  </si>
  <si>
    <t xml:space="preserve">Quantity and Quality of Postgraduates </t>
  </si>
  <si>
    <t xml:space="preserve">Innovation </t>
  </si>
  <si>
    <t xml:space="preserve">Professional Services and Gifts </t>
  </si>
  <si>
    <t xml:space="preserve">Networking and Lingkages </t>
  </si>
  <si>
    <t>F</t>
  </si>
  <si>
    <t>G</t>
  </si>
  <si>
    <t>CAPPED AT 200% EXCEPT RESEARCH EXPERIENCE / INPUT</t>
  </si>
  <si>
    <t>CAPPED AT 200% / OUTPUT</t>
  </si>
  <si>
    <t>CAPPED AT 200% EXCEPT POST- DOCS APPOINTMENT / INPUT &amp; OUTPUT</t>
  </si>
  <si>
    <t>CAPPED AT 200% EXCEPT PATENT FILED/ OUTPUT</t>
  </si>
  <si>
    <t>CAPPED AT 100% / OUTPUT</t>
  </si>
  <si>
    <t>CAPPED AT 100% / INPUT</t>
  </si>
  <si>
    <t>HICoE RESEARCH AND INNOVATION THRUST</t>
  </si>
  <si>
    <t>Sub-Criteria</t>
  </si>
  <si>
    <t>Description</t>
  </si>
  <si>
    <t>Sub-weightage</t>
  </si>
  <si>
    <t>Benchmark</t>
  </si>
  <si>
    <t>Benchmark Score</t>
  </si>
  <si>
    <t>Training / Intellectual Discourse</t>
  </si>
  <si>
    <t>Profesional Services</t>
  </si>
  <si>
    <t xml:space="preserve">Stakeholders Linkages </t>
  </si>
  <si>
    <t xml:space="preserve">Physical Resources </t>
  </si>
  <si>
    <t xml:space="preserve">Quality </t>
  </si>
  <si>
    <t>OR</t>
  </si>
  <si>
    <t>H</t>
  </si>
  <si>
    <t>a. Total number of patents granted in the year</t>
  </si>
  <si>
    <t xml:space="preserve">   (i) National patents</t>
  </si>
  <si>
    <t xml:space="preserve">   (ii) International patents</t>
  </si>
  <si>
    <t>b. Total number of patents filed in the year</t>
  </si>
  <si>
    <t xml:space="preserve">    (i) National</t>
  </si>
  <si>
    <t xml:space="preserve">    (ii) International</t>
  </si>
  <si>
    <t>a. Accreditation of core services</t>
  </si>
  <si>
    <t xml:space="preserve">b. Certification QMS </t>
  </si>
  <si>
    <t>Total Marks for Section F</t>
  </si>
  <si>
    <t>Total Marks for Section G</t>
  </si>
  <si>
    <t>Total Marks for Section H</t>
  </si>
  <si>
    <t>Resources</t>
  </si>
  <si>
    <t>SECTION A : GENERAL INFORMATION</t>
  </si>
  <si>
    <t>AVERAGE</t>
  </si>
  <si>
    <t xml:space="preserve">    (i) Professor</t>
  </si>
  <si>
    <t xml:space="preserve">    (ii) Associate Professor</t>
  </si>
  <si>
    <t xml:space="preserve">    (iii) Senior Lecturer</t>
  </si>
  <si>
    <t xml:space="preserve">    (iv) Lecturer</t>
  </si>
  <si>
    <t xml:space="preserve">    ● PhD</t>
  </si>
  <si>
    <t xml:space="preserve">    ● Postgraduates by Research</t>
  </si>
  <si>
    <t xml:space="preserve">    ● Postgraduates (Foreign)</t>
  </si>
  <si>
    <t xml:space="preserve">    ● Master (Local)</t>
  </si>
  <si>
    <t xml:space="preserve">    ● Master (Foreign)</t>
  </si>
  <si>
    <t xml:space="preserve">   (i) Master - Research (Local)</t>
  </si>
  <si>
    <t xml:space="preserve">   (ii) Master - Research (Foreign)</t>
  </si>
  <si>
    <t xml:space="preserve">   (iii) Master - Coursework (Local)</t>
  </si>
  <si>
    <t xml:space="preserve">   (iv) Master - Coursework (Foreign)</t>
  </si>
  <si>
    <t xml:space="preserve">   (v) PhD (Local)</t>
  </si>
  <si>
    <t xml:space="preserve">   (vi) PhD (Foreign)</t>
  </si>
  <si>
    <t xml:space="preserve">   (vii) Doctoral Level Coursework (Local)</t>
  </si>
  <si>
    <t>CoE DATA</t>
  </si>
  <si>
    <t xml:space="preserve">  (i) Cumulative citations of publications</t>
  </si>
  <si>
    <t>(i) Cumulative citations of publications</t>
  </si>
  <si>
    <t>(ii) Percentage of journal in Q1 and Q2</t>
  </si>
  <si>
    <t xml:space="preserve">(ii) Conference proceedings </t>
  </si>
  <si>
    <t xml:space="preserve">   i) Support Staff</t>
  </si>
  <si>
    <t xml:space="preserve">   ii) RO/RA</t>
  </si>
  <si>
    <t xml:space="preserve">       Full Time</t>
  </si>
  <si>
    <t xml:space="preserve">       Part Time</t>
  </si>
  <si>
    <t>d. Total amount of grant spent</t>
  </si>
  <si>
    <t xml:space="preserve">Number of Post-doctoral fellows active in the year 
</t>
  </si>
  <si>
    <t>Number of PhDs graduated</t>
  </si>
  <si>
    <t>staff</t>
  </si>
  <si>
    <t>HIGHER INSTITUTION CENTRES OF EXCELLENCE (HICoE) INSTRUMENT</t>
  </si>
  <si>
    <t>NAME OF UNIVERSITY</t>
  </si>
  <si>
    <t>CONTACT DETAILS</t>
  </si>
  <si>
    <t>NAME OF CENTRE OF EXCELLENCE (CoE)</t>
  </si>
  <si>
    <t>NAME OF HEAD</t>
  </si>
  <si>
    <t>DESIGNATION</t>
  </si>
  <si>
    <t>ADDRESS</t>
  </si>
  <si>
    <t>TELEPHONE NO.</t>
  </si>
  <si>
    <t>FAX NO.</t>
  </si>
  <si>
    <t>EMAIL</t>
  </si>
  <si>
    <t>INITIATED AT THE REQUEST OF</t>
  </si>
  <si>
    <t>Cabinet</t>
  </si>
  <si>
    <t>[Kindly ( / ) at appropriate box]</t>
  </si>
  <si>
    <t>MOHE</t>
  </si>
  <si>
    <t>University-Senate</t>
  </si>
  <si>
    <t>University-Vice Chancelor</t>
  </si>
  <si>
    <t>Faculty / School</t>
  </si>
  <si>
    <t>External Agency (Malaysia)</t>
  </si>
  <si>
    <t>External Agency (International)</t>
  </si>
  <si>
    <t>Research Cluster</t>
  </si>
  <si>
    <t>Centre</t>
  </si>
  <si>
    <t>Unit</t>
  </si>
  <si>
    <t xml:space="preserve">Others (Please Specify) </t>
  </si>
  <si>
    <t>APPROVING BODY</t>
  </si>
  <si>
    <t>University Board (LPU)</t>
  </si>
  <si>
    <t>University Senate</t>
  </si>
  <si>
    <t>Others (Please Specify)</t>
  </si>
  <si>
    <r>
      <t xml:space="preserve">** If CoE has not been approved by University Senate or LPU, kindly </t>
    </r>
    <r>
      <rPr>
        <b/>
        <u/>
        <sz val="14"/>
        <color indexed="8"/>
        <rFont val="Arial"/>
        <family val="2"/>
      </rPr>
      <t>do NOT</t>
    </r>
    <r>
      <rPr>
        <b/>
        <sz val="14"/>
        <color indexed="8"/>
        <rFont val="Arial"/>
        <family val="2"/>
      </rPr>
      <t xml:space="preserve"> </t>
    </r>
  </si>
  <si>
    <t xml:space="preserve">    proceed to fill the form as it will not be processed.</t>
  </si>
  <si>
    <t>DATE OF APPROVAL (dd/mm/yyyy)</t>
  </si>
  <si>
    <t>A</t>
  </si>
  <si>
    <t>HICoE RESEARCH &amp; INNOVATION THRUST</t>
  </si>
  <si>
    <t>SECTION E - INNOVATION (15 MARKS)
(CAPPED AT 200% EXCEPT PATENT FILED/ OUTPUT )</t>
  </si>
  <si>
    <t>SECTION F - PROFESSIONAL SERVICES AND GIFTS (10 MARKS)
(CAPPED AT 200% / OUTPUT)</t>
  </si>
  <si>
    <t>INSTRUMENT SUMMARY OF CoE</t>
  </si>
  <si>
    <t>SECTION B - QUANTITY AND QUALITY OF RESEARCHERS (15 MARKS)
(CAPPED AT 200% EXCEPT RESEARCH EXPERIENCE / INPUT )</t>
  </si>
  <si>
    <t>SECTION C - QUANTITY AND QUALITY OF RESEARCH (35 MARKS)
(CAPPED AT 200% / OUTPUT)</t>
  </si>
  <si>
    <t>SECTION D - QUANTITY AND QUALITY OF POSTGRADUATES (10 MARKS)
(CAPPED AT 200% EXCEPT POST- DOCS APPOINTMENT / INPUT &amp; OUTPUT )</t>
  </si>
  <si>
    <t>SECTION H - RESOURCES (3 MARKS)
(CAPPED AT 100% / INPUT)</t>
  </si>
  <si>
    <t>SECTION G : NETWORKING AND LINKAGES (12 MARKS)
(CAPPED AT 100% / OUTPUT)</t>
  </si>
  <si>
    <t>SUMMARY MARK OF CoE</t>
  </si>
  <si>
    <r>
      <t>Passing Marks</t>
    </r>
    <r>
      <rPr>
        <b/>
        <sz val="16"/>
        <color indexed="8"/>
        <rFont val="Arial"/>
        <family val="2"/>
      </rPr>
      <t xml:space="preserve"> :</t>
    </r>
  </si>
  <si>
    <t>1. Need to score minimum of 80 marks from overall total marks; AND</t>
  </si>
  <si>
    <t>No./CoE/Year</t>
  </si>
  <si>
    <t>No of Journal Papers Published in Q1 &amp; Q2</t>
  </si>
  <si>
    <t>No. / Year</t>
  </si>
  <si>
    <t>RM/ CoE / 5 Years</t>
  </si>
  <si>
    <t>no. / 5 Years</t>
  </si>
  <si>
    <t>2. Need to score minimum of 48 marks from total summation of Section B, C and D.</t>
  </si>
  <si>
    <t>General Information</t>
  </si>
  <si>
    <t>Overall</t>
  </si>
  <si>
    <t>Section B, C &amp; D</t>
  </si>
  <si>
    <t>No. per CoE/ year</t>
  </si>
  <si>
    <t>b. ≤ 45 years old</t>
  </si>
  <si>
    <t>Mark Obtained</t>
  </si>
  <si>
    <t>no./CoE/ 5 Years</t>
  </si>
  <si>
    <t>Consultancy or Contract Research</t>
  </si>
  <si>
    <t>No./staff</t>
  </si>
  <si>
    <t>S&amp;T : 6
SS : 4</t>
  </si>
  <si>
    <t>S&amp;T : 200
SS : 100</t>
  </si>
  <si>
    <t>cumulative citations per staff / year</t>
  </si>
  <si>
    <t>d. Customer satisfaction</t>
  </si>
  <si>
    <t>SS benchmark :</t>
  </si>
  <si>
    <t>SS score:</t>
  </si>
  <si>
    <t>Percent of academic staff (assocate members) involved as principal investigator of research grants</t>
  </si>
  <si>
    <t>a. ≥ 46 years old</t>
  </si>
  <si>
    <t>Number of local and foreign postgraduate students</t>
  </si>
  <si>
    <t xml:space="preserve">(ii) National Grants </t>
  </si>
  <si>
    <t>(iii) Industry Grants</t>
  </si>
  <si>
    <t xml:space="preserve">    (i) Number of research books</t>
  </si>
  <si>
    <t>(i) Number of research books</t>
  </si>
  <si>
    <t>(ii) Number of chapters in research books</t>
  </si>
  <si>
    <t>j. Number of active foreign academic staff</t>
  </si>
  <si>
    <t xml:space="preserve">a. Number of PhD graduated
</t>
  </si>
  <si>
    <t xml:space="preserve">PhDs graduated </t>
  </si>
  <si>
    <t>Academic staff (permanent/contract)</t>
  </si>
  <si>
    <t xml:space="preserve">a. Number of staff with PhD/DSc, D.Eng. </t>
  </si>
  <si>
    <t>c. Number of products/processes patented</t>
  </si>
  <si>
    <t>d. Number of products/processes filed</t>
  </si>
  <si>
    <t>Number of new products licensed for commercialization in the year</t>
  </si>
  <si>
    <t>Number of technology know-how licensing in the year</t>
  </si>
  <si>
    <t xml:space="preserve">Other IPR </t>
  </si>
  <si>
    <t>a. Number of staff with PhD/DSc, D.Eng.</t>
  </si>
  <si>
    <t xml:space="preserve">b. Number of staff with Professional Qualifications (such as medical, engineers, architects, accountants etc) </t>
  </si>
  <si>
    <t>a. Number of awards and recognitions conferred by international academic and professional bodies for research excellence</t>
  </si>
  <si>
    <t>b. Number of awards and recognitions conferred by national academic and professional bodies for research excellence</t>
  </si>
  <si>
    <t>Ratio of PhDs graduated to academic staff</t>
  </si>
  <si>
    <t xml:space="preserve">c. Calibration of equipment / compliance to specification </t>
  </si>
  <si>
    <t xml:space="preserve">Others IPR </t>
  </si>
  <si>
    <t>cumulatif ciatation</t>
  </si>
  <si>
    <t>Indexed Journals</t>
  </si>
  <si>
    <t>ST Score</t>
  </si>
  <si>
    <t>ST benchmark :</t>
  </si>
  <si>
    <t>No. /Year</t>
  </si>
  <si>
    <t>RM/Year</t>
  </si>
  <si>
    <t>No. / 5 Year</t>
  </si>
  <si>
    <t>CM FT</t>
  </si>
  <si>
    <t>PhD or PQ</t>
  </si>
  <si>
    <t>total FTE</t>
  </si>
  <si>
    <t>Type of CoE  : 1 = Science and Technology (S&amp;T), 2 = Social Science (SS)</t>
  </si>
  <si>
    <t>Fulltime post-graduate students enrolled (including local &amp; international)</t>
  </si>
  <si>
    <t xml:space="preserve">(i) University Funded </t>
  </si>
  <si>
    <t>(iv) International Grants</t>
  </si>
  <si>
    <t>Research Experience 
(2 cohorts)</t>
  </si>
  <si>
    <t xml:space="preserve">    (i) Indexed Journals</t>
  </si>
  <si>
    <t>d. Total number of Research books and Chapter</t>
  </si>
  <si>
    <t>f. Number of other publications (publication in others journal, articles in magazines, newsletters, original writings and publications from conferences, digital or print media)</t>
  </si>
  <si>
    <t>Number of other IPR / copyrights / trademarks / industry design (other than patents, excluding books declared in Section C)</t>
  </si>
  <si>
    <t>Gross income per year as a training provider</t>
  </si>
  <si>
    <t>c. Number of Joint ventures (JV) with industry/ Research Institution / other university</t>
  </si>
  <si>
    <t>e. Number of  Shared facilities</t>
  </si>
  <si>
    <t xml:space="preserve"> (ii) Total number of journal in Q1 and Q2</t>
  </si>
  <si>
    <t>a.  ≥ 46years old</t>
  </si>
  <si>
    <t xml:space="preserve">b.  ≤  45  years old </t>
  </si>
  <si>
    <t>(i) Indexed Journals</t>
  </si>
  <si>
    <r>
      <t>e. Number of Policy papers</t>
    </r>
    <r>
      <rPr>
        <strike/>
        <sz val="11"/>
        <rFont val="Arial Narrow"/>
        <family val="2"/>
      </rPr>
      <t/>
    </r>
  </si>
  <si>
    <t>RM60,000 per S&amp;T staff PLUS
RM24,000 per SS staff</t>
  </si>
  <si>
    <t>RM20,000 per S&amp;T staff PLUS
RM12,000 per SS staff</t>
  </si>
  <si>
    <t>RM20,000 per S&amp;T and SS staff</t>
  </si>
  <si>
    <t>Percentage of PhD graduated within          7 semesters/42 months</t>
  </si>
  <si>
    <t>Gross income per year perstaff as a training provider</t>
  </si>
  <si>
    <t>e. Number of Shared facilities</t>
  </si>
  <si>
    <t xml:space="preserve">f. Number of Creation of physical facilities from collaborations with the industry/ external parties </t>
  </si>
  <si>
    <t>f. Number of active S&amp;T academic staff 
   (Full Member)</t>
  </si>
  <si>
    <t>g. Number of active S&amp;T academic staff 
   (Associate Member)</t>
  </si>
  <si>
    <t>h. Number of active SS academic staff 
    (Full Member)</t>
  </si>
  <si>
    <t>i. Number of active SS academic staff 
   (Associate Member)</t>
  </si>
  <si>
    <t xml:space="preserve">   (viii) Doctoral Level Coursework  
   (Foreign)</t>
  </si>
  <si>
    <t>a. Number of PhD (research mode) 
    graduated in the year</t>
  </si>
  <si>
    <t>b. Number of Master (research mode) 
    graduated in the year</t>
  </si>
  <si>
    <t>c. Number of publications in MyCite 
    indexed journals</t>
  </si>
  <si>
    <t xml:space="preserve">    (ii) Number of chapters in research  
    books</t>
  </si>
  <si>
    <t>b. Number of PhD graduated within 
    7 semesters / 42 months</t>
  </si>
  <si>
    <t>c. Number of Joint ventures (JV) with 
    industry/ Research Institution / other 
    university</t>
  </si>
  <si>
    <t xml:space="preserve">d. Number of  Staff exchange through 
    attachment programme </t>
  </si>
  <si>
    <t xml:space="preserve">f. Number of creation of physical facilities 
   from collaborations with the industry/ 
   external parties </t>
  </si>
  <si>
    <t>c. (i) Number of equipment calibrated / 
   compliance to specification</t>
  </si>
  <si>
    <t xml:space="preserve">    (ii) Number of equipment declared in 
    core services</t>
  </si>
  <si>
    <t>a. Total number of  full member 
    academic staff (excluding staff on 
    study leave)</t>
  </si>
  <si>
    <t>b. Total number of academic staff for 
    associate member (excluding staff 
    on study leave)</t>
  </si>
  <si>
    <t>e. Total number of active SS academic 
    staff</t>
  </si>
  <si>
    <t xml:space="preserve">d. Total number of active S&amp;T  
    academic staff </t>
  </si>
  <si>
    <t>b. Total number of academic staff 
    (assocate members) involved as 
    principal investigator of research 
    grants</t>
  </si>
  <si>
    <t>d. Total number of Research books 
    and Chapter</t>
  </si>
  <si>
    <t>a. Total number of  business 
    contracts/ agreement</t>
  </si>
  <si>
    <t>c. Number of publications in MyCite indexed journals</t>
  </si>
  <si>
    <t>Gross income of professional services perstaff</t>
  </si>
  <si>
    <t>c. Total number of support staff 
   (Permanent/ Contract) including RO 
   and RA but excluding 
   postgraduates</t>
  </si>
  <si>
    <t>Postgraduates Graduated</t>
  </si>
  <si>
    <t>a. Total number of academic staff 
    (full time members) involved as 
    principal investigator of research 
    grants</t>
  </si>
  <si>
    <t xml:space="preserve">b. Number of staff with Professional 
    Qualifications (e.g : doctors, 
    engineers, professional technologist, 
    architects, accountants etc) </t>
  </si>
  <si>
    <t>a. Number of awards and recognitions 
    conferred by international academic 
    and professional bodies for research 
    excellence</t>
  </si>
  <si>
    <t>b. Number of awards and recognitions 
   conferred by national academic and 
   professional bodies for research 
   excellence</t>
  </si>
  <si>
    <t>b. Total number of publications in  
    SCOPUS/WOS</t>
  </si>
  <si>
    <t>e. Number of policy papers</t>
  </si>
  <si>
    <t xml:space="preserve">f. Number of other publications 
  (publication in others journal, articles in 
  magazines, newsletters, original 
  writings and publications from 
  conferences, digital or print media) </t>
  </si>
  <si>
    <t>c. Number of products / processes 
    patented</t>
  </si>
  <si>
    <t>d. Number of products / processes filed</t>
  </si>
  <si>
    <t>a. Total number of patents granted in
    the year</t>
  </si>
  <si>
    <t>b. Total number of patents filed in
    the year</t>
  </si>
  <si>
    <t xml:space="preserve">Licensing technology know-how </t>
  </si>
  <si>
    <t xml:space="preserve">Number of new technology know-hows licensed </t>
  </si>
  <si>
    <t xml:space="preserve">Gross income of professional services </t>
  </si>
  <si>
    <t>a. Number of consultancies or Contract 
    Research</t>
  </si>
  <si>
    <t>b. Gross income of consultancies or 
    Contract Research</t>
  </si>
  <si>
    <t>b. Number of co-authorship /                
    co-authored publications</t>
  </si>
  <si>
    <t>b. Total number of publications in SCOPUS/WOS</t>
  </si>
  <si>
    <t>b. Gross income of consultancies or contract research perstaff</t>
  </si>
  <si>
    <t xml:space="preserve">a. Total number  of consultancies or contract research </t>
  </si>
  <si>
    <t>a. Total number of business contracts/ agreement</t>
  </si>
  <si>
    <t xml:space="preserve">d. Number of staff exchange through attachment program </t>
  </si>
  <si>
    <t>Total amount of funding given by university for infrastructure (RM)</t>
  </si>
  <si>
    <t>Funding given by university for infrastructure (RM)</t>
  </si>
  <si>
    <t>a. Total amount of Public funds from 
   Government Agencies / Parent 
   Bodies / Home Universities / Main 
   Campus</t>
  </si>
  <si>
    <t>b. Total amount of Industrial / Private / NGO funds (including contract research)</t>
  </si>
  <si>
    <t>c. Total amount of research funds from 
   International Bodies / Agencies / 
   NGOs</t>
  </si>
  <si>
    <t xml:space="preserve">a. Total amount of Public funds from Government Agencies/Parent Bodies/Home Universities/Main Campus </t>
  </si>
  <si>
    <t>b. Total amount of Industrial/Private/NGO Funds (including contract research)</t>
  </si>
  <si>
    <t>c. Total amount of research funds from International Bodies/Agencies/NGOs</t>
  </si>
  <si>
    <t>RESEARCH AND INNOVATION THRUST VERSION 2021</t>
  </si>
  <si>
    <t>* NICHE AREA RESEARCH</t>
  </si>
  <si>
    <t xml:space="preserve">NICHE AREA FOCUSED </t>
  </si>
  <si>
    <r>
      <t xml:space="preserve">* </t>
    </r>
    <r>
      <rPr>
        <b/>
        <u/>
        <sz val="14"/>
        <color indexed="8"/>
        <rFont val="Arial"/>
        <family val="2"/>
      </rPr>
      <t>NICHE AREA</t>
    </r>
    <r>
      <rPr>
        <b/>
        <u/>
        <sz val="11"/>
        <color indexed="8"/>
        <rFont val="Arial"/>
        <family val="2"/>
      </rPr>
      <t xml:space="preserve"> </t>
    </r>
    <r>
      <rPr>
        <b/>
        <u/>
        <sz val="14"/>
        <color indexed="8"/>
        <rFont val="Arial"/>
        <family val="2"/>
      </rPr>
      <t>RESEARCH:</t>
    </r>
    <r>
      <rPr>
        <u/>
        <sz val="14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- </t>
    </r>
    <r>
      <rPr>
        <b/>
        <sz val="11"/>
        <color indexed="8"/>
        <rFont val="Arial"/>
        <family val="2"/>
      </rPr>
      <t>Makanan</t>
    </r>
    <r>
      <rPr>
        <sz val="11"/>
        <color indexed="8"/>
        <rFont val="Arial"/>
        <family val="2"/>
      </rPr>
      <t xml:space="preserve"> 
     </t>
    </r>
    <r>
      <rPr>
        <i/>
        <sz val="11"/>
        <color indexed="8"/>
        <rFont val="Arial"/>
        <family val="2"/>
      </rPr>
      <t xml:space="preserve">Food
  - </t>
    </r>
    <r>
      <rPr>
        <b/>
        <sz val="11"/>
        <color indexed="8"/>
        <rFont val="Arial"/>
        <family val="2"/>
      </rPr>
      <t>Tenaga</t>
    </r>
    <r>
      <rPr>
        <i/>
        <sz val="11"/>
        <color indexed="8"/>
        <rFont val="Arial"/>
        <family val="2"/>
      </rPr>
      <t xml:space="preserve">
     Energy
  - </t>
    </r>
    <r>
      <rPr>
        <b/>
        <sz val="11"/>
        <color indexed="8"/>
        <rFont val="Arial"/>
        <family val="2"/>
      </rPr>
      <t>Tanaman</t>
    </r>
    <r>
      <rPr>
        <i/>
        <sz val="11"/>
        <color indexed="8"/>
        <rFont val="Arial"/>
        <family val="2"/>
      </rPr>
      <t xml:space="preserve">
     Plantation
  - </t>
    </r>
    <r>
      <rPr>
        <b/>
        <sz val="11"/>
        <color indexed="8"/>
        <rFont val="Arial"/>
        <family val="2"/>
      </rPr>
      <t>Keselamatan Siber</t>
    </r>
    <r>
      <rPr>
        <sz val="11"/>
        <color indexed="8"/>
        <rFont val="Arial"/>
        <family val="2"/>
      </rPr>
      <t xml:space="preserve">
     </t>
    </r>
    <r>
      <rPr>
        <i/>
        <sz val="11"/>
        <color indexed="8"/>
        <rFont val="Arial"/>
        <family val="2"/>
      </rPr>
      <t xml:space="preserve">Cyber Security
  - </t>
    </r>
    <r>
      <rPr>
        <b/>
        <sz val="11"/>
        <color indexed="8"/>
        <rFont val="Arial"/>
        <family val="2"/>
      </rPr>
      <t>Air</t>
    </r>
    <r>
      <rPr>
        <i/>
        <sz val="11"/>
        <color indexed="8"/>
        <rFont val="Arial"/>
        <family val="2"/>
      </rPr>
      <t xml:space="preserve">
     Water
  - </t>
    </r>
    <r>
      <rPr>
        <b/>
        <sz val="11"/>
        <color indexed="8"/>
        <rFont val="Arial"/>
        <family val="2"/>
      </rPr>
      <t>Biodiversiti</t>
    </r>
    <r>
      <rPr>
        <i/>
        <sz val="11"/>
        <color indexed="8"/>
        <rFont val="Arial"/>
        <family val="2"/>
      </rPr>
      <t xml:space="preserve">
     Biodiversity
  - </t>
    </r>
    <r>
      <rPr>
        <b/>
        <sz val="11"/>
        <color indexed="8"/>
        <rFont val="Arial"/>
        <family val="2"/>
      </rPr>
      <t>Penjagaan Kesihatan dan Perubatan</t>
    </r>
    <r>
      <rPr>
        <i/>
        <sz val="11"/>
        <color indexed="8"/>
        <rFont val="Arial"/>
        <family val="2"/>
      </rPr>
      <t xml:space="preserve">
     Healthcare and Medicine
  - </t>
    </r>
    <r>
      <rPr>
        <b/>
        <sz val="11"/>
        <color indexed="8"/>
        <rFont val="Arial"/>
        <family val="2"/>
      </rPr>
      <t>Persekitaran dan Perubahan Iklim</t>
    </r>
    <r>
      <rPr>
        <i/>
        <sz val="11"/>
        <color indexed="8"/>
        <rFont val="Arial"/>
        <family val="2"/>
      </rPr>
      <t xml:space="preserve">
     Environment and Climate Change
  - </t>
    </r>
    <r>
      <rPr>
        <b/>
        <sz val="11"/>
        <color indexed="8"/>
        <rFont val="Arial"/>
        <family val="2"/>
      </rPr>
      <t>Pengangkutan dan Mobiliti</t>
    </r>
    <r>
      <rPr>
        <i/>
        <sz val="11"/>
        <color indexed="8"/>
        <rFont val="Arial"/>
        <family val="2"/>
      </rPr>
      <t xml:space="preserve">
    Transportation and Mobility
  - </t>
    </r>
    <r>
      <rPr>
        <b/>
        <sz val="11"/>
        <color indexed="8"/>
        <rFont val="Arial"/>
        <family val="2"/>
      </rPr>
      <t>Pendidikan</t>
    </r>
    <r>
      <rPr>
        <i/>
        <sz val="11"/>
        <color indexed="8"/>
        <rFont val="Arial"/>
        <family val="2"/>
      </rPr>
      <t xml:space="preserve">
     Education
  - </t>
    </r>
    <r>
      <rPr>
        <b/>
        <sz val="11"/>
        <color indexed="8"/>
        <rFont val="Arial"/>
        <family val="2"/>
      </rPr>
      <t>Perkhidmatan Perniagaan dan Kewangan</t>
    </r>
    <r>
      <rPr>
        <i/>
        <sz val="11"/>
        <color indexed="8"/>
        <rFont val="Arial"/>
        <family val="2"/>
      </rPr>
      <t xml:space="preserve">
     Business and Financial Services
  - </t>
    </r>
    <r>
      <rPr>
        <b/>
        <sz val="11"/>
        <color indexed="8"/>
        <rFont val="Arial"/>
        <family val="2"/>
      </rPr>
      <t>Budaya dan Industri Kreatif</t>
    </r>
    <r>
      <rPr>
        <i/>
        <sz val="11"/>
        <color indexed="8"/>
        <rFont val="Arial"/>
        <family val="2"/>
      </rPr>
      <t xml:space="preserve">
     Creative Culture and Industry
  - </t>
    </r>
    <r>
      <rPr>
        <b/>
        <sz val="11"/>
        <color indexed="8"/>
        <rFont val="Arial"/>
        <family val="2"/>
      </rPr>
      <t>Teknologi dan Sistem Pintar</t>
    </r>
    <r>
      <rPr>
        <i/>
        <sz val="11"/>
        <color indexed="8"/>
        <rFont val="Arial"/>
        <family val="2"/>
      </rPr>
      <t xml:space="preserve">
     Smart Technology and System
  - </t>
    </r>
    <r>
      <rPr>
        <b/>
        <sz val="11"/>
        <color indexed="8"/>
        <rFont val="Arial"/>
        <family val="2"/>
      </rPr>
      <t>Pengetahuan dan Penemuan Sains Terkehadapan</t>
    </r>
    <r>
      <rPr>
        <i/>
        <sz val="11"/>
        <color indexed="8"/>
        <rFont val="Arial"/>
        <family val="2"/>
      </rPr>
      <t xml:space="preserve">
     Knowledge and Discovery of Frontiers
</t>
    </r>
    <r>
      <rPr>
        <b/>
        <sz val="11"/>
        <color indexed="8"/>
        <rFont val="Arial"/>
        <family val="2"/>
      </rPr>
      <t xml:space="preserve">
Note : Choose only </t>
    </r>
    <r>
      <rPr>
        <b/>
        <u/>
        <sz val="12"/>
        <color indexed="8"/>
        <rFont val="Arial"/>
        <family val="2"/>
      </rPr>
      <t>one (1) niche</t>
    </r>
    <r>
      <rPr>
        <b/>
        <sz val="11"/>
        <color indexed="8"/>
        <rFont val="Arial"/>
        <family val="2"/>
      </rPr>
      <t xml:space="preserve"> for your CoE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</si>
</sst>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RM&quot;#,##0.00_);[Red]\(&quot;RM&quot;#,##0.00\)"/>
    <numFmt numFmtId="165" formatCode="_(* #,##0.00_);_(* \(#,##0.00\);_(* &quot;-&quot;??_);_(@_)"/>
    <numFmt numFmtId="166" formatCode="0.0"/>
    <numFmt numFmtId="167" formatCode="#,##0.0"/>
    <numFmt numFmtId="168" formatCode="0.000"/>
    <numFmt numFmtId="169" formatCode="[$-14809]dd/mm/yyyy;@"/>
    <numFmt numFmtId="170" formatCode="&quot;RM&quot;#,##0.00"/>
    <numFmt numFmtId="171" formatCode="[$RM-43E]#,##0.00"/>
    <numFmt numFmtId="172" formatCode="[$RM-4409]#,##0.00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strike/>
      <sz val="11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10"/>
      <name val="Tahoma"/>
      <family val="2"/>
    </font>
    <font>
      <sz val="10"/>
      <color indexed="53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u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 Narrow"/>
      <family val="2"/>
    </font>
    <font>
      <b/>
      <sz val="18"/>
      <color theme="0"/>
      <name val="Arial"/>
      <family val="2"/>
    </font>
    <font>
      <b/>
      <sz val="2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7" tint="0.39997558519241921"/>
      </right>
      <top/>
      <bottom/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5" tint="0.39997558519241921"/>
      </right>
      <top/>
      <bottom/>
      <diagonal/>
    </border>
    <border>
      <left/>
      <right/>
      <top/>
      <bottom style="thin">
        <color theme="5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5" tint="0.39997558519241921"/>
      </right>
      <top style="thin">
        <color theme="8" tint="0.39997558519241921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medium">
        <color indexed="64"/>
      </left>
      <right style="thin">
        <color theme="5" tint="0.39997558519241921"/>
      </right>
      <top/>
      <bottom/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5" tint="0.39997558519241921"/>
      </right>
      <top/>
      <bottom style="thin">
        <color theme="8" tint="0.39997558519241921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theme="5" tint="0.39997558519241921"/>
      </right>
      <top/>
      <bottom style="thin">
        <color theme="8" tint="0.59999389629810485"/>
      </bottom>
      <diagonal/>
    </border>
  </borders>
  <cellStyleXfs count="11">
    <xf numFmtId="0" fontId="0" fillId="0" borderId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169" fontId="4" fillId="0" borderId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8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wrapText="1"/>
    </xf>
    <xf numFmtId="0" fontId="7" fillId="0" borderId="6" xfId="4" quotePrefix="1" applyFont="1" applyFill="1" applyBorder="1" applyAlignment="1">
      <alignment horizontal="center" vertical="top" wrapText="1"/>
    </xf>
    <xf numFmtId="0" fontId="7" fillId="0" borderId="7" xfId="4" quotePrefix="1" applyFont="1" applyFill="1" applyBorder="1" applyAlignment="1">
      <alignment horizontal="center" vertical="top" wrapText="1"/>
    </xf>
    <xf numFmtId="0" fontId="7" fillId="0" borderId="7" xfId="4" applyFont="1" applyFill="1" applyBorder="1" applyAlignment="1">
      <alignment horizontal="center" vertical="top" wrapText="1"/>
    </xf>
    <xf numFmtId="0" fontId="7" fillId="0" borderId="8" xfId="4" applyFont="1" applyFill="1" applyBorder="1" applyAlignment="1">
      <alignment horizontal="left" vertical="top" wrapText="1"/>
    </xf>
    <xf numFmtId="0" fontId="7" fillId="0" borderId="8" xfId="4" applyFont="1" applyFill="1" applyBorder="1" applyAlignment="1">
      <alignment horizontal="left" vertical="top" wrapText="1" indent="1"/>
    </xf>
    <xf numFmtId="0" fontId="7" fillId="0" borderId="9" xfId="4" applyFont="1" applyFill="1" applyBorder="1" applyAlignment="1">
      <alignment horizontal="left" vertical="top" wrapText="1" indent="1"/>
    </xf>
    <xf numFmtId="0" fontId="4" fillId="3" borderId="10" xfId="4" applyFont="1" applyFill="1" applyBorder="1" applyAlignment="1">
      <alignment horizontal="left" vertical="center" wrapText="1"/>
    </xf>
    <xf numFmtId="0" fontId="4" fillId="3" borderId="5" xfId="4" applyFont="1" applyFill="1" applyBorder="1" applyAlignment="1">
      <alignment horizontal="left" vertical="center" wrapText="1"/>
    </xf>
    <xf numFmtId="0" fontId="4" fillId="0" borderId="11" xfId="4" applyFont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left" vertical="top" wrapText="1" indent="1"/>
    </xf>
    <xf numFmtId="0" fontId="7" fillId="0" borderId="12" xfId="4" applyFont="1" applyFill="1" applyBorder="1" applyAlignment="1">
      <alignment horizontal="center" vertical="top" wrapText="1"/>
    </xf>
    <xf numFmtId="0" fontId="7" fillId="0" borderId="6" xfId="4" applyFont="1" applyFill="1" applyBorder="1" applyAlignment="1">
      <alignment horizontal="center" vertical="top" wrapText="1"/>
    </xf>
    <xf numFmtId="0" fontId="4" fillId="0" borderId="13" xfId="4" applyFont="1" applyBorder="1" applyAlignment="1">
      <alignment horizontal="left" vertical="center" wrapText="1"/>
    </xf>
    <xf numFmtId="0" fontId="4" fillId="0" borderId="14" xfId="4" applyFont="1" applyBorder="1" applyAlignment="1">
      <alignment horizontal="left" vertical="center" wrapText="1"/>
    </xf>
    <xf numFmtId="0" fontId="4" fillId="0" borderId="15" xfId="4" applyFont="1" applyBorder="1" applyAlignment="1">
      <alignment vertical="top" wrapText="1"/>
    </xf>
    <xf numFmtId="0" fontId="4" fillId="0" borderId="16" xfId="4" applyFont="1" applyBorder="1" applyAlignment="1">
      <alignment vertical="top" wrapText="1"/>
    </xf>
    <xf numFmtId="0" fontId="4" fillId="0" borderId="6" xfId="4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7" fillId="0" borderId="17" xfId="4" quotePrefix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4" fillId="0" borderId="21" xfId="4" applyFont="1" applyBorder="1" applyAlignment="1">
      <alignment horizontal="left" vertical="center" wrapText="1"/>
    </xf>
    <xf numFmtId="0" fontId="4" fillId="0" borderId="22" xfId="4" applyFont="1" applyBorder="1" applyAlignment="1">
      <alignment horizontal="left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14" xfId="4" applyFont="1" applyFill="1" applyBorder="1" applyAlignment="1">
      <alignment horizontal="left" vertical="center" wrapText="1"/>
    </xf>
    <xf numFmtId="0" fontId="14" fillId="0" borderId="13" xfId="4" applyFont="1" applyFill="1" applyBorder="1" applyAlignment="1">
      <alignment horizontal="left" vertical="center" wrapText="1"/>
    </xf>
    <xf numFmtId="0" fontId="15" fillId="0" borderId="11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41" fillId="0" borderId="0" xfId="0" applyFont="1"/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Border="1"/>
    <xf numFmtId="0" fontId="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Fill="1"/>
    <xf numFmtId="0" fontId="25" fillId="0" borderId="0" xfId="0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8" fillId="8" borderId="27" xfId="0" applyFont="1" applyFill="1" applyBorder="1" applyAlignment="1">
      <alignment horizontal="center" vertical="center" wrapText="1"/>
    </xf>
    <xf numFmtId="0" fontId="27" fillId="8" borderId="27" xfId="0" applyFont="1" applyFill="1" applyBorder="1" applyAlignment="1">
      <alignment horizontal="left" vertical="center" wrapText="1"/>
    </xf>
    <xf numFmtId="0" fontId="0" fillId="0" borderId="79" xfId="0" applyFill="1" applyBorder="1"/>
    <xf numFmtId="170" fontId="20" fillId="0" borderId="0" xfId="0" applyNumberFormat="1" applyFont="1" applyFill="1"/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0" fillId="0" borderId="80" xfId="0" applyBorder="1"/>
    <xf numFmtId="0" fontId="25" fillId="0" borderId="8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1" fontId="20" fillId="0" borderId="0" xfId="0" applyNumberFormat="1" applyFont="1" applyFill="1" applyAlignment="1">
      <alignment horizontal="center" vertical="center"/>
    </xf>
    <xf numFmtId="2" fontId="20" fillId="0" borderId="62" xfId="0" applyNumberFormat="1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170" fontId="20" fillId="0" borderId="0" xfId="0" applyNumberFormat="1" applyFont="1"/>
    <xf numFmtId="0" fontId="6" fillId="0" borderId="0" xfId="0" applyFont="1" applyAlignment="1">
      <alignment horizontal="center" wrapText="1"/>
    </xf>
    <xf numFmtId="0" fontId="20" fillId="0" borderId="6" xfId="0" applyFont="1" applyBorder="1"/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0" fillId="0" borderId="81" xfId="0" applyBorder="1"/>
    <xf numFmtId="0" fontId="0" fillId="0" borderId="81" xfId="0" applyFill="1" applyBorder="1"/>
    <xf numFmtId="0" fontId="0" fillId="0" borderId="82" xfId="0" applyBorder="1"/>
    <xf numFmtId="0" fontId="0" fillId="9" borderId="0" xfId="0" applyFill="1"/>
    <xf numFmtId="0" fontId="0" fillId="11" borderId="81" xfId="0" applyFill="1" applyBorder="1"/>
    <xf numFmtId="0" fontId="0" fillId="12" borderId="83" xfId="0" applyFill="1" applyBorder="1"/>
    <xf numFmtId="0" fontId="0" fillId="12" borderId="84" xfId="0" applyFill="1" applyBorder="1"/>
    <xf numFmtId="0" fontId="28" fillId="12" borderId="0" xfId="0" applyFont="1" applyFill="1" applyBorder="1" applyAlignment="1">
      <alignment vertical="center"/>
    </xf>
    <xf numFmtId="0" fontId="0" fillId="12" borderId="0" xfId="0" applyFill="1" applyBorder="1"/>
    <xf numFmtId="0" fontId="0" fillId="12" borderId="81" xfId="0" applyFill="1" applyBorder="1"/>
    <xf numFmtId="0" fontId="27" fillId="12" borderId="0" xfId="0" applyFont="1" applyFill="1" applyBorder="1"/>
    <xf numFmtId="0" fontId="29" fillId="12" borderId="0" xfId="0" applyFont="1" applyFill="1" applyBorder="1" applyAlignment="1">
      <alignment vertical="center"/>
    </xf>
    <xf numFmtId="0" fontId="25" fillId="12" borderId="0" xfId="0" applyFont="1" applyFill="1" applyBorder="1" applyAlignment="1">
      <alignment vertical="center"/>
    </xf>
    <xf numFmtId="0" fontId="25" fillId="12" borderId="81" xfId="0" applyFont="1" applyFill="1" applyBorder="1" applyAlignment="1">
      <alignment vertical="center"/>
    </xf>
    <xf numFmtId="0" fontId="28" fillId="12" borderId="0" xfId="0" applyFont="1" applyFill="1" applyBorder="1" applyAlignment="1">
      <alignment horizontal="left" vertical="center" wrapText="1"/>
    </xf>
    <xf numFmtId="0" fontId="28" fillId="12" borderId="85" xfId="0" applyFont="1" applyFill="1" applyBorder="1" applyAlignment="1">
      <alignment vertical="center"/>
    </xf>
    <xf numFmtId="0" fontId="25" fillId="12" borderId="86" xfId="0" applyFont="1" applyFill="1" applyBorder="1" applyAlignment="1">
      <alignment vertical="center"/>
    </xf>
    <xf numFmtId="0" fontId="28" fillId="12" borderId="0" xfId="0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vertical="center"/>
    </xf>
    <xf numFmtId="0" fontId="0" fillId="12" borderId="87" xfId="0" applyFill="1" applyBorder="1"/>
    <xf numFmtId="0" fontId="0" fillId="12" borderId="88" xfId="0" applyFill="1" applyBorder="1"/>
    <xf numFmtId="0" fontId="45" fillId="13" borderId="89" xfId="0" applyFont="1" applyFill="1" applyBorder="1" applyAlignment="1">
      <alignment vertical="center"/>
    </xf>
    <xf numFmtId="0" fontId="45" fillId="13" borderId="90" xfId="0" applyFont="1" applyFill="1" applyBorder="1" applyAlignment="1">
      <alignment vertical="center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/>
      <protection locked="0"/>
    </xf>
    <xf numFmtId="1" fontId="20" fillId="8" borderId="3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1" fontId="20" fillId="8" borderId="39" xfId="0" applyNumberFormat="1" applyFont="1" applyFill="1" applyBorder="1" applyAlignment="1" applyProtection="1">
      <alignment horizontal="center" vertical="center"/>
      <protection locked="0"/>
    </xf>
    <xf numFmtId="1" fontId="20" fillId="8" borderId="51" xfId="0" applyNumberFormat="1" applyFont="1" applyFill="1" applyBorder="1" applyAlignment="1" applyProtection="1">
      <alignment horizontal="center" vertical="center"/>
      <protection locked="0"/>
    </xf>
    <xf numFmtId="1" fontId="20" fillId="8" borderId="50" xfId="0" applyNumberFormat="1" applyFont="1" applyFill="1" applyBorder="1" applyAlignment="1" applyProtection="1">
      <alignment horizontal="center" vertical="center"/>
      <protection locked="0"/>
    </xf>
    <xf numFmtId="1" fontId="20" fillId="8" borderId="41" xfId="0" applyNumberFormat="1" applyFont="1" applyFill="1" applyBorder="1" applyAlignment="1" applyProtection="1">
      <alignment horizontal="center" vertical="center"/>
      <protection locked="0"/>
    </xf>
    <xf numFmtId="1" fontId="20" fillId="8" borderId="52" xfId="0" applyNumberFormat="1" applyFont="1" applyFill="1" applyBorder="1" applyAlignment="1" applyProtection="1">
      <alignment horizontal="center" vertical="center"/>
      <protection locked="0"/>
    </xf>
    <xf numFmtId="1" fontId="20" fillId="8" borderId="35" xfId="0" applyNumberFormat="1" applyFont="1" applyFill="1" applyBorder="1" applyAlignment="1" applyProtection="1">
      <alignment horizontal="center" vertical="center"/>
      <protection locked="0"/>
    </xf>
    <xf numFmtId="1" fontId="20" fillId="8" borderId="53" xfId="0" applyNumberFormat="1" applyFont="1" applyFill="1" applyBorder="1" applyAlignment="1" applyProtection="1">
      <alignment horizontal="center" vertical="center"/>
      <protection locked="0"/>
    </xf>
    <xf numFmtId="1" fontId="20" fillId="8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Protection="1">
      <protection locked="0"/>
    </xf>
    <xf numFmtId="1" fontId="20" fillId="8" borderId="37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45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35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/>
      <protection locked="0"/>
    </xf>
    <xf numFmtId="170" fontId="24" fillId="8" borderId="36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37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58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50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53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35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Alignment="1" applyProtection="1">
      <alignment horizontal="center" vertical="center"/>
      <protection locked="0"/>
    </xf>
    <xf numFmtId="0" fontId="20" fillId="0" borderId="18" xfId="0" applyFont="1" applyFill="1" applyBorder="1" applyProtection="1">
      <protection locked="0"/>
    </xf>
    <xf numFmtId="1" fontId="20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1" fontId="20" fillId="8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70" fontId="24" fillId="8" borderId="27" xfId="0" applyNumberFormat="1" applyFont="1" applyFill="1" applyBorder="1" applyAlignment="1" applyProtection="1">
      <alignment horizontal="center" vertical="center" wrapText="1"/>
      <protection locked="0"/>
    </xf>
    <xf numFmtId="170" fontId="24" fillId="8" borderId="42" xfId="0" applyNumberFormat="1" applyFont="1" applyFill="1" applyBorder="1" applyAlignment="1" applyProtection="1">
      <alignment horizontal="center" vertical="center" wrapText="1"/>
      <protection locked="0"/>
    </xf>
    <xf numFmtId="3" fontId="20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171" fontId="20" fillId="8" borderId="47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35" xfId="0" applyFont="1" applyFill="1" applyBorder="1" applyAlignment="1" applyProtection="1">
      <alignment horizontal="center" vertical="center"/>
      <protection locked="0"/>
    </xf>
    <xf numFmtId="10" fontId="20" fillId="8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7" borderId="27" xfId="0" applyFont="1" applyFill="1" applyBorder="1" applyAlignment="1" applyProtection="1">
      <alignment horizontal="center" vertical="center"/>
    </xf>
    <xf numFmtId="0" fontId="6" fillId="7" borderId="34" xfId="0" applyFont="1" applyFill="1" applyBorder="1" applyAlignment="1" applyProtection="1">
      <alignment horizontal="center" vertical="center"/>
    </xf>
    <xf numFmtId="0" fontId="6" fillId="7" borderId="27" xfId="0" applyFont="1" applyFill="1" applyBorder="1" applyAlignment="1" applyProtection="1">
      <alignment horizontal="center" vertical="center" wrapText="1"/>
    </xf>
    <xf numFmtId="0" fontId="6" fillId="7" borderId="34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top" wrapText="1"/>
    </xf>
    <xf numFmtId="0" fontId="20" fillId="0" borderId="37" xfId="0" applyFont="1" applyBorder="1" applyAlignment="1" applyProtection="1">
      <alignment horizontal="left" vertical="top" wrapText="1"/>
    </xf>
    <xf numFmtId="0" fontId="6" fillId="0" borderId="38" xfId="0" applyFont="1" applyBorder="1" applyAlignment="1" applyProtection="1">
      <alignment horizontal="left" vertical="top" wrapText="1"/>
    </xf>
    <xf numFmtId="0" fontId="6" fillId="0" borderId="37" xfId="0" applyFont="1" applyFill="1" applyBorder="1" applyAlignment="1" applyProtection="1">
      <alignment horizontal="left" vertical="top" wrapText="1"/>
    </xf>
    <xf numFmtId="0" fontId="24" fillId="0" borderId="37" xfId="0" applyFont="1" applyFill="1" applyBorder="1" applyAlignment="1" applyProtection="1">
      <alignment horizontal="left" vertical="top"/>
    </xf>
    <xf numFmtId="0" fontId="24" fillId="0" borderId="37" xfId="0" applyFont="1" applyFill="1" applyBorder="1" applyAlignment="1" applyProtection="1">
      <alignment vertical="top"/>
    </xf>
    <xf numFmtId="0" fontId="6" fillId="0" borderId="37" xfId="0" applyFont="1" applyBorder="1" applyAlignment="1" applyProtection="1">
      <alignment horizontal="left" vertical="top" wrapText="1"/>
    </xf>
    <xf numFmtId="0" fontId="20" fillId="0" borderId="39" xfId="0" applyFont="1" applyFill="1" applyBorder="1" applyAlignment="1" applyProtection="1">
      <alignment horizontal="left" vertical="top" wrapText="1"/>
    </xf>
    <xf numFmtId="1" fontId="6" fillId="6" borderId="36" xfId="0" applyNumberFormat="1" applyFont="1" applyFill="1" applyBorder="1" applyAlignment="1" applyProtection="1">
      <alignment horizontal="center" vertical="center"/>
    </xf>
    <xf numFmtId="2" fontId="6" fillId="6" borderId="37" xfId="0" applyNumberFormat="1" applyFont="1" applyFill="1" applyBorder="1" applyAlignment="1" applyProtection="1">
      <alignment horizontal="center" vertical="center"/>
    </xf>
    <xf numFmtId="1" fontId="6" fillId="6" borderId="37" xfId="0" applyNumberFormat="1" applyFont="1" applyFill="1" applyBorder="1" applyAlignment="1" applyProtection="1">
      <alignment horizontal="center" vertical="center"/>
    </xf>
    <xf numFmtId="1" fontId="6" fillId="6" borderId="39" xfId="0" applyNumberFormat="1" applyFont="1" applyFill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left" vertical="center" wrapText="1"/>
    </xf>
    <xf numFmtId="0" fontId="20" fillId="0" borderId="37" xfId="0" applyFont="1" applyBorder="1" applyAlignment="1" applyProtection="1">
      <alignment horizontal="left" vertical="center" wrapText="1"/>
    </xf>
    <xf numFmtId="0" fontId="20" fillId="0" borderId="35" xfId="0" applyFont="1" applyBorder="1" applyAlignment="1" applyProtection="1">
      <alignment horizontal="left" vertical="center" wrapText="1"/>
    </xf>
    <xf numFmtId="1" fontId="6" fillId="6" borderId="50" xfId="0" applyNumberFormat="1" applyFont="1" applyFill="1" applyBorder="1" applyAlignment="1" applyProtection="1">
      <alignment horizontal="center" vertical="center"/>
    </xf>
    <xf numFmtId="0" fontId="6" fillId="6" borderId="37" xfId="0" applyFont="1" applyFill="1" applyBorder="1" applyAlignment="1" applyProtection="1">
      <alignment horizontal="center" vertical="center"/>
    </xf>
    <xf numFmtId="1" fontId="6" fillId="6" borderId="41" xfId="0" applyNumberFormat="1" applyFont="1" applyFill="1" applyBorder="1" applyAlignment="1" applyProtection="1">
      <alignment horizontal="center" vertical="center"/>
    </xf>
    <xf numFmtId="0" fontId="6" fillId="6" borderId="41" xfId="0" applyFont="1" applyFill="1" applyBorder="1" applyAlignment="1" applyProtection="1">
      <alignment horizontal="center" vertical="center"/>
    </xf>
    <xf numFmtId="1" fontId="6" fillId="6" borderId="35" xfId="0" applyNumberFormat="1" applyFont="1" applyFill="1" applyBorder="1" applyAlignment="1" applyProtection="1">
      <alignment horizontal="center" vertical="center"/>
    </xf>
    <xf numFmtId="1" fontId="6" fillId="6" borderId="38" xfId="0" applyNumberFormat="1" applyFont="1" applyFill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left" vertical="top" wrapText="1"/>
    </xf>
    <xf numFmtId="0" fontId="20" fillId="0" borderId="38" xfId="0" applyFont="1" applyBorder="1" applyAlignment="1" applyProtection="1">
      <alignment horizontal="left" vertical="top" wrapText="1"/>
    </xf>
    <xf numFmtId="0" fontId="20" fillId="0" borderId="39" xfId="0" applyFont="1" applyBorder="1" applyAlignment="1" applyProtection="1">
      <alignment horizontal="left" vertical="top" wrapText="1"/>
    </xf>
    <xf numFmtId="0" fontId="6" fillId="0" borderId="36" xfId="0" applyFont="1" applyFill="1" applyBorder="1" applyAlignment="1" applyProtection="1">
      <alignment horizontal="left" vertical="top" wrapText="1"/>
    </xf>
    <xf numFmtId="0" fontId="20" fillId="0" borderId="37" xfId="0" applyFont="1" applyFill="1" applyBorder="1" applyAlignment="1" applyProtection="1">
      <alignment horizontal="left" vertical="center" wrapText="1"/>
    </xf>
    <xf numFmtId="0" fontId="20" fillId="0" borderId="35" xfId="0" applyFont="1" applyFill="1" applyBorder="1" applyAlignment="1" applyProtection="1">
      <alignment horizontal="left" vertical="center" wrapText="1"/>
    </xf>
    <xf numFmtId="0" fontId="20" fillId="0" borderId="36" xfId="0" applyFont="1" applyFill="1" applyBorder="1" applyAlignment="1" applyProtection="1">
      <alignment horizontal="left" vertical="top" wrapText="1"/>
    </xf>
    <xf numFmtId="0" fontId="20" fillId="0" borderId="35" xfId="0" applyFont="1" applyFill="1" applyBorder="1" applyAlignment="1" applyProtection="1">
      <alignment horizontal="left" vertical="top" wrapText="1"/>
    </xf>
    <xf numFmtId="1" fontId="6" fillId="6" borderId="36" xfId="0" applyNumberFormat="1" applyFont="1" applyFill="1" applyBorder="1" applyAlignment="1" applyProtection="1">
      <alignment horizontal="center" vertical="center" wrapText="1"/>
    </xf>
    <xf numFmtId="1" fontId="6" fillId="6" borderId="40" xfId="0" applyNumberFormat="1" applyFont="1" applyFill="1" applyBorder="1" applyAlignment="1" applyProtection="1">
      <alignment horizontal="center" vertical="center" wrapText="1"/>
    </xf>
    <xf numFmtId="1" fontId="6" fillId="6" borderId="37" xfId="0" applyNumberFormat="1" applyFont="1" applyFill="1" applyBorder="1" applyAlignment="1" applyProtection="1">
      <alignment horizontal="center" vertical="center" wrapText="1"/>
    </xf>
    <xf numFmtId="1" fontId="6" fillId="6" borderId="39" xfId="0" applyNumberFormat="1" applyFont="1" applyFill="1" applyBorder="1" applyAlignment="1" applyProtection="1">
      <alignment horizontal="center" vertical="center" wrapText="1"/>
    </xf>
    <xf numFmtId="1" fontId="6" fillId="6" borderId="35" xfId="0" applyNumberFormat="1" applyFont="1" applyFill="1" applyBorder="1" applyAlignment="1" applyProtection="1">
      <alignment horizontal="center" vertical="center" wrapText="1"/>
    </xf>
    <xf numFmtId="1" fontId="6" fillId="6" borderId="38" xfId="0" applyNumberFormat="1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left" vertical="top" wrapText="1"/>
    </xf>
    <xf numFmtId="0" fontId="20" fillId="0" borderId="41" xfId="0" applyFont="1" applyFill="1" applyBorder="1" applyAlignment="1" applyProtection="1">
      <alignment horizontal="justify" vertical="top" wrapText="1"/>
    </xf>
    <xf numFmtId="0" fontId="6" fillId="0" borderId="41" xfId="0" applyFont="1" applyFill="1" applyBorder="1" applyAlignment="1" applyProtection="1">
      <alignment horizontal="left" vertical="top" wrapText="1"/>
    </xf>
    <xf numFmtId="0" fontId="20" fillId="0" borderId="41" xfId="0" applyFont="1" applyFill="1" applyBorder="1" applyAlignment="1" applyProtection="1">
      <alignment horizontal="left" vertical="top" wrapText="1"/>
    </xf>
    <xf numFmtId="0" fontId="20" fillId="0" borderId="60" xfId="0" applyFont="1" applyFill="1" applyBorder="1" applyAlignment="1" applyProtection="1">
      <alignment horizontal="left" vertical="top" wrapText="1"/>
    </xf>
    <xf numFmtId="0" fontId="20" fillId="0" borderId="43" xfId="0" applyFont="1" applyFill="1" applyBorder="1" applyAlignment="1" applyProtection="1">
      <alignment vertical="top" wrapText="1"/>
    </xf>
    <xf numFmtId="0" fontId="20" fillId="0" borderId="64" xfId="0" applyFont="1" applyFill="1" applyBorder="1" applyAlignment="1" applyProtection="1">
      <alignment vertical="top" wrapText="1"/>
    </xf>
    <xf numFmtId="0" fontId="20" fillId="0" borderId="48" xfId="0" applyFont="1" applyFill="1" applyBorder="1" applyAlignment="1" applyProtection="1">
      <alignment vertical="top" wrapText="1"/>
    </xf>
    <xf numFmtId="1" fontId="6" fillId="6" borderId="41" xfId="0" applyNumberFormat="1" applyFont="1" applyFill="1" applyBorder="1" applyAlignment="1" applyProtection="1">
      <alignment horizontal="center" vertical="center" wrapText="1"/>
    </xf>
    <xf numFmtId="1" fontId="6" fillId="6" borderId="36" xfId="0" quotePrefix="1" applyNumberFormat="1" applyFont="1" applyFill="1" applyBorder="1" applyAlignment="1" applyProtection="1">
      <alignment horizontal="center" vertical="center" wrapText="1"/>
    </xf>
    <xf numFmtId="1" fontId="6" fillId="6" borderId="37" xfId="0" quotePrefix="1" applyNumberFormat="1" applyFont="1" applyFill="1" applyBorder="1" applyAlignment="1" applyProtection="1">
      <alignment horizontal="center" vertical="center" wrapText="1"/>
    </xf>
    <xf numFmtId="1" fontId="6" fillId="6" borderId="39" xfId="0" quotePrefix="1" applyNumberFormat="1" applyFont="1" applyFill="1" applyBorder="1" applyAlignment="1" applyProtection="1">
      <alignment horizontal="center" vertical="center" wrapText="1"/>
    </xf>
    <xf numFmtId="170" fontId="6" fillId="6" borderId="43" xfId="0" quotePrefix="1" applyNumberFormat="1" applyFont="1" applyFill="1" applyBorder="1" applyAlignment="1" applyProtection="1">
      <alignment horizontal="center" vertical="center" wrapText="1"/>
    </xf>
    <xf numFmtId="170" fontId="6" fillId="6" borderId="37" xfId="0" quotePrefix="1" applyNumberFormat="1" applyFont="1" applyFill="1" applyBorder="1" applyAlignment="1" applyProtection="1">
      <alignment horizontal="center" vertical="center" wrapText="1"/>
    </xf>
    <xf numFmtId="170" fontId="6" fillId="6" borderId="48" xfId="0" quotePrefix="1" applyNumberFormat="1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left" vertical="top" wrapText="1"/>
    </xf>
    <xf numFmtId="0" fontId="20" fillId="0" borderId="27" xfId="0" applyFont="1" applyFill="1" applyBorder="1" applyAlignment="1" applyProtection="1">
      <alignment horizontal="center" vertical="top" wrapText="1"/>
    </xf>
    <xf numFmtId="0" fontId="20" fillId="0" borderId="27" xfId="0" applyFont="1" applyFill="1" applyBorder="1" applyAlignment="1" applyProtection="1">
      <alignment horizontal="left" vertical="top" wrapText="1"/>
    </xf>
    <xf numFmtId="0" fontId="20" fillId="0" borderId="34" xfId="0" applyFont="1" applyFill="1" applyBorder="1" applyAlignment="1" applyProtection="1">
      <alignment horizontal="left" vertical="top" wrapText="1"/>
    </xf>
    <xf numFmtId="1" fontId="6" fillId="6" borderId="27" xfId="0" applyNumberFormat="1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20" fillId="0" borderId="47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27" xfId="0" applyFont="1" applyFill="1" applyBorder="1" applyAlignment="1" applyProtection="1">
      <alignment vertical="top" wrapText="1"/>
    </xf>
    <xf numFmtId="0" fontId="20" fillId="0" borderId="34" xfId="0" applyFont="1" applyFill="1" applyBorder="1" applyAlignment="1" applyProtection="1">
      <alignment vertical="top" wrapText="1"/>
    </xf>
    <xf numFmtId="1" fontId="6" fillId="6" borderId="28" xfId="0" quotePrefix="1" applyNumberFormat="1" applyFont="1" applyFill="1" applyBorder="1" applyAlignment="1" applyProtection="1">
      <alignment horizontal="center" vertical="center" wrapText="1"/>
    </xf>
    <xf numFmtId="1" fontId="6" fillId="6" borderId="30" xfId="0" quotePrefix="1" applyNumberFormat="1" applyFont="1" applyFill="1" applyBorder="1" applyAlignment="1" applyProtection="1">
      <alignment horizontal="center" vertical="center" wrapText="1"/>
    </xf>
    <xf numFmtId="1" fontId="6" fillId="6" borderId="35" xfId="0" quotePrefix="1" applyNumberFormat="1" applyFont="1" applyFill="1" applyBorder="1" applyAlignment="1" applyProtection="1">
      <alignment horizontal="center" vertical="center" wrapText="1"/>
    </xf>
    <xf numFmtId="1" fontId="6" fillId="6" borderId="42" xfId="0" quotePrefix="1" applyNumberFormat="1" applyFont="1" applyFill="1" applyBorder="1" applyAlignment="1" applyProtection="1">
      <alignment horizontal="center" vertical="center" wrapText="1"/>
    </xf>
    <xf numFmtId="1" fontId="6" fillId="6" borderId="27" xfId="0" quotePrefix="1" applyNumberFormat="1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left" vertical="top" wrapText="1"/>
    </xf>
    <xf numFmtId="0" fontId="20" fillId="0" borderId="45" xfId="0" applyFont="1" applyFill="1" applyBorder="1" applyAlignment="1" applyProtection="1">
      <alignment horizontal="center" vertical="top" wrapText="1"/>
    </xf>
    <xf numFmtId="0" fontId="20" fillId="0" borderId="19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40" xfId="0" applyFont="1" applyFill="1" applyBorder="1" applyAlignment="1" applyProtection="1">
      <alignment horizontal="left" vertical="top" wrapText="1"/>
    </xf>
    <xf numFmtId="0" fontId="20" fillId="0" borderId="53" xfId="0" applyFont="1" applyFill="1" applyBorder="1" applyAlignment="1" applyProtection="1">
      <alignment horizontal="left" vertical="top" wrapText="1"/>
    </xf>
    <xf numFmtId="0" fontId="20" fillId="0" borderId="61" xfId="0" applyFont="1" applyFill="1" applyBorder="1" applyAlignment="1" applyProtection="1">
      <alignment vertical="top" wrapText="1"/>
    </xf>
    <xf numFmtId="0" fontId="20" fillId="0" borderId="20" xfId="0" applyFont="1" applyFill="1" applyBorder="1" applyAlignment="1" applyProtection="1">
      <alignment vertical="top" wrapText="1"/>
    </xf>
    <xf numFmtId="170" fontId="6" fillId="6" borderId="20" xfId="0" applyNumberFormat="1" applyFont="1" applyFill="1" applyBorder="1" applyAlignment="1" applyProtection="1">
      <alignment horizontal="center" vertical="center"/>
    </xf>
    <xf numFmtId="170" fontId="6" fillId="6" borderId="18" xfId="0" applyNumberFormat="1" applyFont="1" applyFill="1" applyBorder="1" applyAlignment="1" applyProtection="1">
      <alignment horizontal="center" vertical="center"/>
    </xf>
    <xf numFmtId="3" fontId="6" fillId="6" borderId="43" xfId="0" applyNumberFormat="1" applyFont="1" applyFill="1" applyBorder="1" applyAlignment="1" applyProtection="1">
      <alignment horizontal="center" vertical="center"/>
    </xf>
    <xf numFmtId="170" fontId="6" fillId="6" borderId="48" xfId="0" applyNumberFormat="1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vertical="center" wrapText="1"/>
    </xf>
    <xf numFmtId="0" fontId="20" fillId="0" borderId="41" xfId="0" applyFont="1" applyFill="1" applyBorder="1" applyAlignment="1" applyProtection="1">
      <alignment vertical="center" wrapText="1"/>
    </xf>
    <xf numFmtId="0" fontId="20" fillId="0" borderId="53" xfId="0" applyFont="1" applyFill="1" applyBorder="1" applyAlignment="1" applyProtection="1">
      <alignment vertical="center" wrapText="1"/>
    </xf>
    <xf numFmtId="1" fontId="6" fillId="6" borderId="28" xfId="0" applyNumberFormat="1" applyFont="1" applyFill="1" applyBorder="1" applyAlignment="1" applyProtection="1">
      <alignment horizontal="center" vertical="center" wrapText="1"/>
    </xf>
    <xf numFmtId="0" fontId="6" fillId="7" borderId="47" xfId="0" applyFont="1" applyFill="1" applyBorder="1" applyAlignment="1" applyProtection="1">
      <alignment horizontal="center" vertical="center" wrapText="1"/>
    </xf>
    <xf numFmtId="0" fontId="6" fillId="7" borderId="61" xfId="0" applyFont="1" applyFill="1" applyBorder="1" applyAlignment="1" applyProtection="1">
      <alignment horizontal="center" vertical="center" wrapText="1"/>
    </xf>
    <xf numFmtId="0" fontId="6" fillId="7" borderId="65" xfId="0" applyFont="1" applyFill="1" applyBorder="1" applyAlignment="1" applyProtection="1">
      <alignment horizontal="center" vertical="center" wrapText="1"/>
    </xf>
    <xf numFmtId="0" fontId="20" fillId="0" borderId="47" xfId="0" applyFont="1" applyFill="1" applyBorder="1" applyAlignment="1" applyProtection="1">
      <alignment horizontal="center" vertical="top" wrapText="1"/>
    </xf>
    <xf numFmtId="0" fontId="20" fillId="0" borderId="61" xfId="0" applyFont="1" applyFill="1" applyBorder="1" applyAlignment="1" applyProtection="1">
      <alignment horizontal="left" vertical="top" wrapText="1"/>
    </xf>
    <xf numFmtId="0" fontId="20" fillId="5" borderId="65" xfId="0" applyFont="1" applyFill="1" applyBorder="1" applyAlignment="1" applyProtection="1">
      <alignment horizontal="left" vertical="top" wrapText="1"/>
    </xf>
    <xf numFmtId="0" fontId="20" fillId="0" borderId="43" xfId="0" applyFont="1" applyFill="1" applyBorder="1" applyAlignment="1" applyProtection="1">
      <alignment horizontal="left" vertical="top" wrapText="1"/>
    </xf>
    <xf numFmtId="0" fontId="20" fillId="0" borderId="48" xfId="0" applyFont="1" applyFill="1" applyBorder="1" applyAlignment="1" applyProtection="1">
      <alignment horizontal="left" vertical="top" wrapText="1"/>
    </xf>
    <xf numFmtId="0" fontId="20" fillId="0" borderId="52" xfId="0" applyFont="1" applyFill="1" applyBorder="1" applyAlignment="1" applyProtection="1">
      <alignment horizontal="left" vertical="top" wrapText="1"/>
    </xf>
    <xf numFmtId="0" fontId="20" fillId="0" borderId="17" xfId="0" applyFont="1" applyBorder="1" applyAlignment="1" applyProtection="1">
      <alignment vertical="top"/>
    </xf>
    <xf numFmtId="172" fontId="6" fillId="6" borderId="47" xfId="1" applyNumberFormat="1" applyFont="1" applyFill="1" applyBorder="1" applyAlignment="1" applyProtection="1">
      <alignment horizontal="center" vertical="center"/>
    </xf>
    <xf numFmtId="1" fontId="6" fillId="6" borderId="43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0" fontId="6" fillId="6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12" xfId="4" applyFont="1" applyFill="1" applyBorder="1" applyAlignment="1">
      <alignment horizontal="center" vertical="top" wrapText="1"/>
    </xf>
    <xf numFmtId="0" fontId="7" fillId="0" borderId="6" xfId="4" applyFont="1" applyFill="1" applyBorder="1" applyAlignment="1">
      <alignment horizontal="center" vertical="top" wrapText="1"/>
    </xf>
    <xf numFmtId="0" fontId="11" fillId="0" borderId="6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7" fillId="0" borderId="7" xfId="4" applyFont="1" applyFill="1" applyBorder="1" applyAlignment="1">
      <alignment horizontal="center" vertical="top" wrapText="1"/>
    </xf>
    <xf numFmtId="0" fontId="11" fillId="0" borderId="6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7" fillId="0" borderId="10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 wrapText="1"/>
    </xf>
    <xf numFmtId="0" fontId="4" fillId="0" borderId="68" xfId="4" applyFont="1" applyBorder="1" applyAlignment="1">
      <alignment horizontal="center" vertical="top" wrapText="1"/>
    </xf>
    <xf numFmtId="0" fontId="4" fillId="0" borderId="15" xfId="4" applyFont="1" applyBorder="1" applyAlignment="1">
      <alignment horizontal="center" vertical="top" wrapText="1"/>
    </xf>
    <xf numFmtId="0" fontId="4" fillId="0" borderId="6" xfId="4" applyFont="1" applyBorder="1" applyAlignment="1">
      <alignment horizontal="center" vertical="top" wrapText="1"/>
    </xf>
    <xf numFmtId="0" fontId="4" fillId="0" borderId="16" xfId="4" applyFont="1" applyBorder="1" applyAlignment="1">
      <alignment horizontal="center" vertical="top" wrapText="1"/>
    </xf>
    <xf numFmtId="0" fontId="28" fillId="12" borderId="1" xfId="0" applyFont="1" applyFill="1" applyBorder="1" applyAlignment="1">
      <alignment horizontal="left" vertical="center" wrapText="1"/>
    </xf>
    <xf numFmtId="0" fontId="28" fillId="12" borderId="34" xfId="0" applyFont="1" applyFill="1" applyBorder="1" applyAlignment="1">
      <alignment horizontal="left" vertical="center" wrapText="1"/>
    </xf>
    <xf numFmtId="0" fontId="28" fillId="12" borderId="20" xfId="0" applyFont="1" applyFill="1" applyBorder="1" applyAlignment="1">
      <alignment horizontal="left" vertical="center" wrapText="1"/>
    </xf>
    <xf numFmtId="0" fontId="28" fillId="12" borderId="0" xfId="0" applyFont="1" applyFill="1" applyAlignment="1">
      <alignment horizontal="left" vertical="center" wrapText="1"/>
    </xf>
    <xf numFmtId="0" fontId="39" fillId="13" borderId="0" xfId="0" applyFont="1" applyFill="1" applyBorder="1" applyAlignment="1">
      <alignment horizontal="center"/>
    </xf>
    <xf numFmtId="0" fontId="39" fillId="13" borderId="81" xfId="0" applyFont="1" applyFill="1" applyBorder="1" applyAlignment="1">
      <alignment horizontal="center"/>
    </xf>
    <xf numFmtId="0" fontId="47" fillId="13" borderId="0" xfId="0" applyFont="1" applyFill="1" applyBorder="1" applyAlignment="1">
      <alignment horizontal="center" vertical="center"/>
    </xf>
    <xf numFmtId="0" fontId="47" fillId="13" borderId="8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left" vertical="center" wrapText="1"/>
    </xf>
    <xf numFmtId="0" fontId="28" fillId="8" borderId="34" xfId="0" applyFont="1" applyFill="1" applyBorder="1" applyAlignment="1">
      <alignment horizontal="left" vertical="center" wrapText="1"/>
    </xf>
    <xf numFmtId="0" fontId="28" fillId="8" borderId="20" xfId="0" applyFont="1" applyFill="1" applyBorder="1" applyAlignment="1">
      <alignment horizontal="left" vertical="center" wrapText="1"/>
    </xf>
    <xf numFmtId="0" fontId="40" fillId="8" borderId="1" xfId="3" applyFill="1" applyBorder="1" applyAlignment="1" applyProtection="1">
      <alignment horizontal="left" vertical="center" wrapText="1"/>
    </xf>
    <xf numFmtId="0" fontId="40" fillId="8" borderId="34" xfId="3" applyFill="1" applyBorder="1" applyAlignment="1" applyProtection="1">
      <alignment horizontal="left" vertical="center" wrapText="1"/>
    </xf>
    <xf numFmtId="0" fontId="40" fillId="8" borderId="20" xfId="3" applyFill="1" applyBorder="1" applyAlignment="1" applyProtection="1">
      <alignment horizontal="left" vertical="center" wrapText="1"/>
    </xf>
    <xf numFmtId="0" fontId="28" fillId="8" borderId="1" xfId="0" applyFont="1" applyFill="1" applyBorder="1" applyAlignment="1" applyProtection="1">
      <alignment horizontal="left" vertical="center" wrapText="1"/>
    </xf>
    <xf numFmtId="0" fontId="28" fillId="8" borderId="34" xfId="0" applyFont="1" applyFill="1" applyBorder="1" applyAlignment="1" applyProtection="1">
      <alignment horizontal="left" vertical="center" wrapText="1"/>
    </xf>
    <xf numFmtId="0" fontId="28" fillId="8" borderId="20" xfId="0" applyFont="1" applyFill="1" applyBorder="1" applyAlignment="1" applyProtection="1">
      <alignment horizontal="left" vertical="center" wrapText="1"/>
    </xf>
    <xf numFmtId="0" fontId="27" fillId="8" borderId="47" xfId="0" applyFont="1" applyFill="1" applyBorder="1" applyAlignment="1">
      <alignment horizontal="center" vertical="center" wrapText="1"/>
    </xf>
    <xf numFmtId="0" fontId="27" fillId="8" borderId="45" xfId="0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left" vertical="center" wrapText="1"/>
    </xf>
    <xf numFmtId="0" fontId="28" fillId="12" borderId="65" xfId="0" applyFont="1" applyFill="1" applyBorder="1" applyAlignment="1">
      <alignment horizontal="left" vertical="center" wrapText="1"/>
    </xf>
    <xf numFmtId="0" fontId="28" fillId="12" borderId="61" xfId="0" applyFont="1" applyFill="1" applyBorder="1" applyAlignment="1">
      <alignment horizontal="left" vertical="center" wrapText="1"/>
    </xf>
    <xf numFmtId="0" fontId="28" fillId="12" borderId="7" xfId="0" applyFont="1" applyFill="1" applyBorder="1" applyAlignment="1">
      <alignment horizontal="left" vertical="center" wrapText="1"/>
    </xf>
    <xf numFmtId="0" fontId="28" fillId="12" borderId="59" xfId="0" applyFont="1" applyFill="1" applyBorder="1" applyAlignment="1">
      <alignment horizontal="left" vertical="center" wrapText="1"/>
    </xf>
    <xf numFmtId="0" fontId="28" fillId="12" borderId="19" xfId="0" applyFont="1" applyFill="1" applyBorder="1" applyAlignment="1">
      <alignment horizontal="left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59" xfId="0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left" vertical="center"/>
    </xf>
    <xf numFmtId="0" fontId="28" fillId="12" borderId="18" xfId="0" applyFont="1" applyFill="1" applyBorder="1" applyAlignment="1">
      <alignment horizontal="left" vertical="center"/>
    </xf>
    <xf numFmtId="14" fontId="27" fillId="8" borderId="1" xfId="0" applyNumberFormat="1" applyFont="1" applyFill="1" applyBorder="1" applyAlignment="1">
      <alignment horizontal="center" vertical="center" wrapText="1"/>
    </xf>
    <xf numFmtId="14" fontId="27" fillId="8" borderId="34" xfId="0" applyNumberFormat="1" applyFont="1" applyFill="1" applyBorder="1" applyAlignment="1">
      <alignment horizontal="center" vertical="center" wrapText="1"/>
    </xf>
    <xf numFmtId="14" fontId="27" fillId="8" borderId="20" xfId="0" applyNumberFormat="1" applyFont="1" applyFill="1" applyBorder="1" applyAlignment="1">
      <alignment horizontal="center" vertical="center" wrapText="1"/>
    </xf>
    <xf numFmtId="0" fontId="6" fillId="15" borderId="0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 wrapText="1"/>
    </xf>
    <xf numFmtId="0" fontId="20" fillId="15" borderId="18" xfId="0" applyFont="1" applyFill="1" applyBorder="1" applyAlignment="1" applyProtection="1">
      <alignment horizontal="center" vertical="center" wrapText="1"/>
    </xf>
    <xf numFmtId="0" fontId="20" fillId="0" borderId="47" xfId="0" applyFont="1" applyFill="1" applyBorder="1" applyAlignment="1" applyProtection="1">
      <alignment horizontal="left" vertical="top" wrapText="1"/>
    </xf>
    <xf numFmtId="0" fontId="20" fillId="0" borderId="42" xfId="0" applyFont="1" applyFill="1" applyBorder="1" applyAlignment="1" applyProtection="1">
      <alignment horizontal="left" vertical="top" wrapText="1"/>
    </xf>
    <xf numFmtId="0" fontId="20" fillId="0" borderId="45" xfId="0" applyFont="1" applyFill="1" applyBorder="1" applyAlignment="1" applyProtection="1">
      <alignment horizontal="left" vertical="top" wrapText="1"/>
    </xf>
    <xf numFmtId="0" fontId="20" fillId="0" borderId="65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59" xfId="0" applyFont="1" applyBorder="1" applyAlignment="1" applyProtection="1">
      <alignment horizontal="left" vertical="top" wrapText="1"/>
    </xf>
    <xf numFmtId="0" fontId="20" fillId="0" borderId="36" xfId="0" applyFont="1" applyFill="1" applyBorder="1" applyAlignment="1" applyProtection="1">
      <alignment horizontal="center" vertical="top" wrapText="1"/>
    </xf>
    <xf numFmtId="0" fontId="20" fillId="0" borderId="37" xfId="0" applyFont="1" applyFill="1" applyBorder="1" applyAlignment="1" applyProtection="1">
      <alignment horizontal="center" vertical="top" wrapText="1"/>
    </xf>
    <xf numFmtId="0" fontId="20" fillId="0" borderId="39" xfId="0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left" vertical="top" wrapText="1"/>
    </xf>
    <xf numFmtId="0" fontId="20" fillId="0" borderId="35" xfId="0" applyFont="1" applyFill="1" applyBorder="1" applyAlignment="1" applyProtection="1">
      <alignment horizontal="left" vertical="top" wrapText="1"/>
    </xf>
    <xf numFmtId="0" fontId="48" fillId="13" borderId="17" xfId="0" applyFont="1" applyFill="1" applyBorder="1" applyAlignment="1" applyProtection="1">
      <alignment horizontal="center" vertical="center" wrapText="1"/>
    </xf>
    <xf numFmtId="0" fontId="48" fillId="13" borderId="2" xfId="0" applyFont="1" applyFill="1" applyBorder="1" applyAlignment="1" applyProtection="1">
      <alignment horizontal="center" vertical="center" wrapText="1"/>
    </xf>
    <xf numFmtId="0" fontId="48" fillId="13" borderId="3" xfId="0" applyFont="1" applyFill="1" applyBorder="1" applyAlignment="1" applyProtection="1">
      <alignment horizontal="center" vertical="center" wrapText="1"/>
    </xf>
    <xf numFmtId="0" fontId="20" fillId="0" borderId="36" xfId="0" applyFont="1" applyFill="1" applyBorder="1" applyAlignment="1" applyProtection="1">
      <alignment horizontal="center" vertical="top"/>
    </xf>
    <xf numFmtId="0" fontId="20" fillId="0" borderId="37" xfId="0" applyFont="1" applyFill="1" applyBorder="1" applyAlignment="1" applyProtection="1">
      <alignment horizontal="center" vertical="top"/>
    </xf>
    <xf numFmtId="0" fontId="20" fillId="0" borderId="35" xfId="0" applyFont="1" applyFill="1" applyBorder="1" applyAlignment="1" applyProtection="1">
      <alignment horizontal="center" vertical="top"/>
    </xf>
    <xf numFmtId="0" fontId="20" fillId="0" borderId="43" xfId="0" applyFont="1" applyFill="1" applyBorder="1" applyAlignment="1" applyProtection="1">
      <alignment horizontal="left" vertical="top" wrapText="1"/>
    </xf>
    <xf numFmtId="0" fontId="20" fillId="0" borderId="64" xfId="0" applyFont="1" applyFill="1" applyBorder="1" applyAlignment="1" applyProtection="1">
      <alignment horizontal="left" vertical="top" wrapText="1"/>
    </xf>
    <xf numFmtId="0" fontId="20" fillId="0" borderId="48" xfId="0" applyFont="1" applyFill="1" applyBorder="1" applyAlignment="1" applyProtection="1">
      <alignment horizontal="left" vertical="top" wrapText="1"/>
    </xf>
    <xf numFmtId="0" fontId="20" fillId="0" borderId="47" xfId="0" applyFont="1" applyBorder="1" applyAlignment="1" applyProtection="1">
      <alignment horizontal="center" vertical="top" wrapText="1"/>
    </xf>
    <xf numFmtId="0" fontId="20" fillId="0" borderId="42" xfId="0" applyFont="1" applyBorder="1" applyAlignment="1" applyProtection="1">
      <alignment horizontal="center" vertical="top" wrapText="1"/>
    </xf>
    <xf numFmtId="0" fontId="22" fillId="0" borderId="0" xfId="0" applyFont="1" applyAlignment="1" applyProtection="1">
      <alignment horizontal="center" vertical="center" wrapText="1"/>
    </xf>
    <xf numFmtId="0" fontId="48" fillId="13" borderId="1" xfId="0" applyFont="1" applyFill="1" applyBorder="1" applyAlignment="1" applyProtection="1">
      <alignment horizontal="center" vertical="center" wrapText="1"/>
    </xf>
    <xf numFmtId="0" fontId="48" fillId="13" borderId="34" xfId="0" applyFont="1" applyFill="1" applyBorder="1" applyAlignment="1" applyProtection="1">
      <alignment horizontal="center" vertical="center" wrapText="1"/>
    </xf>
    <xf numFmtId="0" fontId="48" fillId="13" borderId="20" xfId="0" applyFont="1" applyFill="1" applyBorder="1" applyAlignment="1" applyProtection="1">
      <alignment horizontal="center" vertical="center" wrapText="1"/>
    </xf>
    <xf numFmtId="0" fontId="32" fillId="7" borderId="17" xfId="0" applyFont="1" applyFill="1" applyBorder="1" applyAlignment="1" applyProtection="1">
      <alignment horizontal="left" vertical="center" wrapText="1"/>
    </xf>
    <xf numFmtId="0" fontId="32" fillId="7" borderId="2" xfId="0" applyFont="1" applyFill="1" applyBorder="1" applyAlignment="1" applyProtection="1">
      <alignment horizontal="left" vertical="center" wrapText="1"/>
    </xf>
    <xf numFmtId="0" fontId="32" fillId="7" borderId="3" xfId="0" applyFont="1" applyFill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top" wrapText="1"/>
    </xf>
    <xf numFmtId="0" fontId="20" fillId="0" borderId="6" xfId="0" applyFont="1" applyBorder="1" applyAlignment="1" applyProtection="1">
      <alignment horizontal="left" vertical="top" wrapText="1"/>
    </xf>
    <xf numFmtId="0" fontId="20" fillId="0" borderId="7" xfId="0" applyFont="1" applyBorder="1" applyAlignment="1" applyProtection="1">
      <alignment horizontal="left" vertical="top" wrapText="1"/>
    </xf>
    <xf numFmtId="0" fontId="20" fillId="0" borderId="47" xfId="0" applyFont="1" applyBorder="1" applyAlignment="1" applyProtection="1">
      <alignment horizontal="center" vertical="top"/>
    </xf>
    <xf numFmtId="0" fontId="20" fillId="0" borderId="42" xfId="0" applyFont="1" applyBorder="1" applyAlignment="1" applyProtection="1">
      <alignment horizontal="center" vertical="top"/>
    </xf>
    <xf numFmtId="0" fontId="20" fillId="0" borderId="45" xfId="0" applyFont="1" applyBorder="1" applyAlignment="1" applyProtection="1">
      <alignment horizontal="center" vertical="top"/>
    </xf>
    <xf numFmtId="0" fontId="20" fillId="0" borderId="45" xfId="0" applyFont="1" applyBorder="1" applyAlignment="1" applyProtection="1">
      <alignment horizontal="left" vertical="top" wrapText="1"/>
    </xf>
    <xf numFmtId="0" fontId="20" fillId="0" borderId="6" xfId="0" applyFont="1" applyBorder="1" applyAlignment="1" applyProtection="1">
      <alignment horizontal="center" vertical="top"/>
    </xf>
    <xf numFmtId="0" fontId="20" fillId="0" borderId="7" xfId="0" applyFont="1" applyBorder="1" applyAlignment="1" applyProtection="1">
      <alignment horizontal="center" vertical="top"/>
    </xf>
    <xf numFmtId="0" fontId="48" fillId="13" borderId="2" xfId="0" applyFont="1" applyFill="1" applyBorder="1" applyAlignment="1" applyProtection="1">
      <alignment horizontal="center" vertical="center"/>
    </xf>
    <xf numFmtId="0" fontId="48" fillId="13" borderId="3" xfId="0" applyFont="1" applyFill="1" applyBorder="1" applyAlignment="1" applyProtection="1">
      <alignment horizontal="center" vertical="center"/>
    </xf>
    <xf numFmtId="0" fontId="6" fillId="15" borderId="34" xfId="0" applyFont="1" applyFill="1" applyBorder="1" applyAlignment="1" applyProtection="1">
      <alignment horizontal="center" vertical="center" wrapText="1"/>
    </xf>
    <xf numFmtId="0" fontId="6" fillId="15" borderId="20" xfId="0" applyFont="1" applyFill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top" wrapText="1"/>
    </xf>
    <xf numFmtId="0" fontId="20" fillId="0" borderId="35" xfId="0" applyFont="1" applyBorder="1" applyAlignment="1" applyProtection="1">
      <alignment horizontal="center" vertical="top" wrapText="1"/>
    </xf>
    <xf numFmtId="0" fontId="20" fillId="0" borderId="36" xfId="0" applyFont="1" applyBorder="1" applyAlignment="1" applyProtection="1">
      <alignment vertical="top" wrapText="1"/>
    </xf>
    <xf numFmtId="0" fontId="20" fillId="0" borderId="35" xfId="0" applyFont="1" applyBorder="1" applyAlignment="1" applyProtection="1">
      <alignment vertical="top" wrapText="1"/>
    </xf>
    <xf numFmtId="0" fontId="20" fillId="0" borderId="37" xfId="0" applyFont="1" applyBorder="1" applyAlignment="1" applyProtection="1">
      <alignment horizontal="center" vertical="top" wrapText="1"/>
    </xf>
    <xf numFmtId="0" fontId="20" fillId="0" borderId="40" xfId="0" applyFont="1" applyBorder="1" applyAlignment="1" applyProtection="1">
      <alignment horizontal="left" vertical="top" wrapText="1"/>
    </xf>
    <xf numFmtId="0" fontId="20" fillId="0" borderId="41" xfId="0" applyFont="1" applyBorder="1" applyAlignment="1" applyProtection="1">
      <alignment horizontal="left" vertical="top" wrapText="1"/>
    </xf>
    <xf numFmtId="0" fontId="20" fillId="0" borderId="53" xfId="0" applyFont="1" applyBorder="1" applyAlignment="1" applyProtection="1">
      <alignment horizontal="left" vertical="top" wrapText="1"/>
    </xf>
    <xf numFmtId="0" fontId="20" fillId="0" borderId="40" xfId="0" applyFont="1" applyFill="1" applyBorder="1" applyAlignment="1" applyProtection="1">
      <alignment horizontal="left" vertical="top" wrapText="1"/>
    </xf>
    <xf numFmtId="0" fontId="20" fillId="0" borderId="53" xfId="0" applyFont="1" applyFill="1" applyBorder="1" applyAlignment="1" applyProtection="1">
      <alignment horizontal="left" vertical="top" wrapText="1"/>
    </xf>
    <xf numFmtId="0" fontId="20" fillId="0" borderId="69" xfId="0" applyFont="1" applyFill="1" applyBorder="1" applyAlignment="1" applyProtection="1">
      <alignment horizontal="left" vertical="top" wrapText="1"/>
    </xf>
    <xf numFmtId="0" fontId="20" fillId="0" borderId="51" xfId="0" applyFont="1" applyFill="1" applyBorder="1" applyAlignment="1" applyProtection="1">
      <alignment horizontal="center" vertical="top" wrapText="1"/>
    </xf>
    <xf numFmtId="0" fontId="20" fillId="0" borderId="50" xfId="0" applyFont="1" applyFill="1" applyBorder="1" applyAlignment="1" applyProtection="1">
      <alignment horizontal="center" vertical="top" wrapText="1"/>
    </xf>
    <xf numFmtId="0" fontId="20" fillId="0" borderId="52" xfId="0" applyFont="1" applyFill="1" applyBorder="1" applyAlignment="1" applyProtection="1">
      <alignment horizontal="center" vertical="top" wrapText="1"/>
    </xf>
    <xf numFmtId="0" fontId="20" fillId="0" borderId="37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/>
      <protection locked="0"/>
    </xf>
    <xf numFmtId="0" fontId="46" fillId="13" borderId="1" xfId="0" applyFont="1" applyFill="1" applyBorder="1" applyAlignment="1" applyProtection="1">
      <alignment horizontal="center" vertical="center" wrapText="1"/>
      <protection locked="0"/>
    </xf>
    <xf numFmtId="0" fontId="46" fillId="13" borderId="34" xfId="0" applyFont="1" applyFill="1" applyBorder="1" applyAlignment="1" applyProtection="1">
      <alignment horizontal="center" vertical="center"/>
      <protection locked="0"/>
    </xf>
    <xf numFmtId="0" fontId="46" fillId="13" borderId="20" xfId="0" applyFont="1" applyFill="1" applyBorder="1" applyAlignment="1" applyProtection="1">
      <alignment horizontal="center" vertical="center"/>
      <protection locked="0"/>
    </xf>
    <xf numFmtId="0" fontId="46" fillId="13" borderId="27" xfId="0" applyFont="1" applyFill="1" applyBorder="1" applyAlignment="1" applyProtection="1">
      <alignment horizontal="center" vertical="center"/>
      <protection locked="0"/>
    </xf>
    <xf numFmtId="0" fontId="46" fillId="13" borderId="1" xfId="0" applyFont="1" applyFill="1" applyBorder="1" applyAlignment="1" applyProtection="1">
      <alignment horizontal="center" vertical="center"/>
      <protection locked="0"/>
    </xf>
    <xf numFmtId="0" fontId="6" fillId="7" borderId="61" xfId="0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32" xfId="0" applyFont="1" applyFill="1" applyBorder="1" applyAlignment="1" applyProtection="1">
      <alignment horizontal="center" vertical="center" wrapText="1"/>
      <protection locked="0"/>
    </xf>
    <xf numFmtId="4" fontId="6" fillId="7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6" fillId="7" borderId="19" xfId="0" applyFont="1" applyFill="1" applyBorder="1" applyAlignment="1" applyProtection="1">
      <alignment horizontal="center" vertical="center" wrapText="1"/>
      <protection locked="0"/>
    </xf>
    <xf numFmtId="0" fontId="20" fillId="0" borderId="7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9" fontId="6" fillId="0" borderId="10" xfId="0" applyNumberFormat="1" applyFont="1" applyBorder="1" applyAlignment="1" applyProtection="1">
      <alignment horizontal="center" vertical="center" wrapText="1"/>
      <protection locked="0"/>
    </xf>
    <xf numFmtId="9" fontId="20" fillId="0" borderId="4" xfId="0" applyNumberFormat="1" applyFont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6" borderId="28" xfId="0" applyNumberFormat="1" applyFont="1" applyFill="1" applyBorder="1" applyAlignment="1" applyProtection="1">
      <alignment horizontal="center" vertical="center" wrapText="1"/>
      <protection locked="0"/>
    </xf>
    <xf numFmtId="166" fontId="6" fillId="6" borderId="36" xfId="0" applyNumberFormat="1" applyFont="1" applyFill="1" applyBorder="1" applyAlignment="1" applyProtection="1">
      <alignment horizontal="center" vertical="center" wrapText="1"/>
      <protection locked="0"/>
    </xf>
    <xf numFmtId="2" fontId="6" fillId="6" borderId="36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47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9" fontId="20" fillId="0" borderId="5" xfId="0" applyNumberFormat="1" applyFont="1" applyBorder="1" applyAlignment="1" applyProtection="1">
      <alignment horizontal="center" vertical="center" wrapText="1"/>
      <protection locked="0"/>
    </xf>
    <xf numFmtId="9" fontId="20" fillId="0" borderId="9" xfId="0" applyNumberFormat="1" applyFont="1" applyBorder="1" applyAlignment="1" applyProtection="1">
      <alignment horizontal="center" vertical="center" wrapText="1"/>
      <protection locked="0"/>
    </xf>
    <xf numFmtId="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30" xfId="7" applyFont="1" applyFill="1" applyBorder="1" applyAlignment="1" applyProtection="1">
      <alignment horizontal="center" vertical="center" wrapText="1"/>
      <protection locked="0"/>
    </xf>
    <xf numFmtId="166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7" xfId="0" applyNumberFormat="1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left" vertical="top" wrapText="1"/>
      <protection locked="0"/>
    </xf>
    <xf numFmtId="9" fontId="20" fillId="0" borderId="44" xfId="7" applyFont="1" applyFill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9" fontId="6" fillId="0" borderId="13" xfId="0" applyNumberFormat="1" applyFont="1" applyBorder="1" applyAlignment="1" applyProtection="1">
      <alignment horizontal="center" vertical="center" wrapText="1"/>
      <protection locked="0"/>
    </xf>
    <xf numFmtId="9" fontId="20" fillId="0" borderId="13" xfId="0" applyNumberFormat="1" applyFont="1" applyBorder="1" applyAlignment="1" applyProtection="1">
      <alignment horizontal="center" vertical="center" wrapText="1"/>
      <protection locked="0"/>
    </xf>
    <xf numFmtId="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6" fillId="6" borderId="31" xfId="0" applyNumberFormat="1" applyFont="1" applyFill="1" applyBorder="1" applyAlignment="1" applyProtection="1">
      <alignment horizontal="center" vertical="center" wrapText="1"/>
      <protection locked="0"/>
    </xf>
    <xf numFmtId="166" fontId="6" fillId="6" borderId="3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5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9" fontId="6" fillId="0" borderId="9" xfId="0" applyNumberFormat="1" applyFont="1" applyBorder="1" applyAlignment="1" applyProtection="1">
      <alignment horizontal="center" vertical="center" wrapText="1"/>
      <protection locked="0"/>
    </xf>
    <xf numFmtId="9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9" fontId="20" fillId="0" borderId="58" xfId="7" applyFont="1" applyFill="1" applyBorder="1" applyAlignment="1" applyProtection="1">
      <alignment horizontal="center" vertical="center" wrapText="1"/>
      <protection locked="0"/>
    </xf>
    <xf numFmtId="166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7" xfId="0" applyNumberFormat="1" applyFont="1" applyBorder="1" applyAlignment="1" applyProtection="1">
      <alignment horizontal="center" vertical="center" wrapText="1"/>
      <protection locked="0"/>
    </xf>
    <xf numFmtId="2" fontId="6" fillId="0" borderId="38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9" fontId="20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9" fontId="20" fillId="0" borderId="53" xfId="7" applyFont="1" applyFill="1" applyBorder="1" applyAlignment="1" applyProtection="1">
      <alignment horizontal="center" vertical="center" wrapText="1"/>
      <protection locked="0"/>
    </xf>
    <xf numFmtId="166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2" xfId="0" applyNumberFormat="1" applyFont="1" applyBorder="1" applyAlignment="1" applyProtection="1">
      <alignment horizontal="center" vertical="center" wrapText="1"/>
      <protection locked="0"/>
    </xf>
    <xf numFmtId="0" fontId="20" fillId="0" borderId="71" xfId="0" applyFont="1" applyBorder="1" applyAlignment="1" applyProtection="1">
      <alignment horizontal="center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9" fontId="6" fillId="6" borderId="58" xfId="0" applyNumberFormat="1" applyFont="1" applyFill="1" applyBorder="1" applyAlignment="1" applyProtection="1">
      <alignment horizontal="center" vertical="center" wrapText="1"/>
      <protection locked="0"/>
    </xf>
    <xf numFmtId="2" fontId="6" fillId="6" borderId="40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2" xfId="0" applyFont="1" applyBorder="1" applyAlignment="1" applyProtection="1">
      <alignment horizontal="center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 indent="2"/>
      <protection locked="0"/>
    </xf>
    <xf numFmtId="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Border="1" applyAlignment="1" applyProtection="1">
      <alignment horizontal="center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 indent="2"/>
      <protection locked="0"/>
    </xf>
    <xf numFmtId="9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53" xfId="7" applyNumberFormat="1" applyFont="1" applyFill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0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9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166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7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6" fillId="13" borderId="34" xfId="0" applyFont="1" applyFill="1" applyBorder="1" applyAlignment="1" applyProtection="1">
      <alignment horizontal="center" vertical="center" wrapText="1"/>
      <protection locked="0"/>
    </xf>
    <xf numFmtId="0" fontId="46" fillId="13" borderId="20" xfId="0" applyFont="1" applyFill="1" applyBorder="1" applyAlignment="1" applyProtection="1">
      <alignment horizontal="center" vertical="center" wrapText="1"/>
      <protection locked="0"/>
    </xf>
    <xf numFmtId="0" fontId="46" fillId="13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left" vertical="top" wrapText="1"/>
      <protection locked="0"/>
    </xf>
    <xf numFmtId="0" fontId="20" fillId="0" borderId="28" xfId="0" quotePrefix="1" applyFont="1" applyFill="1" applyBorder="1" applyAlignment="1" applyProtection="1">
      <alignment horizontal="center" vertical="center" wrapText="1"/>
      <protection locked="0"/>
    </xf>
    <xf numFmtId="0" fontId="20" fillId="6" borderId="28" xfId="0" quotePrefix="1" applyFont="1" applyFill="1" applyBorder="1" applyAlignment="1" applyProtection="1">
      <alignment horizontal="center" vertical="center" wrapText="1"/>
      <protection locked="0"/>
    </xf>
    <xf numFmtId="0" fontId="6" fillId="6" borderId="36" xfId="0" quotePrefix="1" applyFont="1" applyFill="1" applyBorder="1" applyAlignment="1" applyProtection="1">
      <alignment horizontal="center" vertical="center" wrapText="1"/>
      <protection locked="0"/>
    </xf>
    <xf numFmtId="0" fontId="6" fillId="6" borderId="40" xfId="0" quotePrefix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3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168" fontId="6" fillId="0" borderId="37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justify" vertical="top" wrapText="1"/>
      <protection locked="0"/>
    </xf>
    <xf numFmtId="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9" fontId="20" fillId="0" borderId="14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6" borderId="14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6" borderId="63" xfId="0" quotePrefix="1" applyNumberFormat="1" applyFont="1" applyFill="1" applyBorder="1" applyAlignment="1" applyProtection="1">
      <alignment horizontal="center" vertical="center" wrapText="1"/>
      <protection locked="0"/>
    </xf>
    <xf numFmtId="9" fontId="6" fillId="6" borderId="37" xfId="0" quotePrefix="1" applyNumberFormat="1" applyFont="1" applyFill="1" applyBorder="1" applyAlignment="1" applyProtection="1">
      <alignment horizontal="center" vertical="center" wrapText="1"/>
      <protection locked="0"/>
    </xf>
    <xf numFmtId="2" fontId="20" fillId="6" borderId="37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41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5" xfId="0" applyNumberFormat="1" applyFont="1" applyFill="1" applyBorder="1" applyAlignment="1" applyProtection="1">
      <alignment horizontal="center" vertical="center"/>
      <protection locked="0"/>
    </xf>
    <xf numFmtId="2" fontId="6" fillId="10" borderId="37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9" fontId="20" fillId="0" borderId="29" xfId="0" quotePrefix="1" applyNumberFormat="1" applyFont="1" applyFill="1" applyBorder="1" applyAlignment="1" applyProtection="1">
      <alignment horizontal="center" vertical="center"/>
      <protection locked="0"/>
    </xf>
    <xf numFmtId="3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9" fontId="20" fillId="0" borderId="29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6" borderId="29" xfId="0" quotePrefix="1" applyNumberFormat="1" applyFont="1" applyFill="1" applyBorder="1" applyAlignment="1" applyProtection="1">
      <alignment horizontal="center" vertical="center" wrapText="1"/>
      <protection locked="0"/>
    </xf>
    <xf numFmtId="9" fontId="20" fillId="6" borderId="44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6" borderId="37" xfId="0" quotePrefix="1" applyFont="1" applyFill="1" applyBorder="1" applyAlignment="1" applyProtection="1">
      <alignment horizontal="center" vertical="center" wrapText="1"/>
      <protection locked="0"/>
    </xf>
    <xf numFmtId="2" fontId="20" fillId="6" borderId="42" xfId="0" quotePrefix="1" applyNumberFormat="1" applyFont="1" applyFill="1" applyBorder="1" applyAlignment="1" applyProtection="1">
      <alignment horizontal="center" vertical="center" wrapText="1"/>
      <protection locked="0"/>
    </xf>
    <xf numFmtId="2" fontId="20" fillId="6" borderId="0" xfId="0" quotePrefix="1" applyNumberFormat="1" applyFont="1" applyFill="1" applyBorder="1" applyAlignment="1" applyProtection="1">
      <alignment horizontal="center" vertical="center" wrapText="1"/>
      <protection locked="0"/>
    </xf>
    <xf numFmtId="2" fontId="6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167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167" fontId="20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9" fontId="20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3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0" xfId="0" applyNumberFormat="1" applyFont="1" applyBorder="1" applyAlignment="1" applyProtection="1">
      <alignment horizontal="center" vertical="center" wrapText="1"/>
      <protection locked="0"/>
    </xf>
    <xf numFmtId="2" fontId="6" fillId="0" borderId="41" xfId="0" applyNumberFormat="1" applyFont="1" applyBorder="1" applyAlignment="1" applyProtection="1">
      <alignment horizontal="center" vertical="center" wrapText="1"/>
      <protection locked="0"/>
    </xf>
    <xf numFmtId="2" fontId="6" fillId="0" borderId="64" xfId="0" applyNumberFormat="1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9" fontId="20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top" wrapText="1"/>
      <protection locked="0"/>
    </xf>
    <xf numFmtId="0" fontId="20" fillId="0" borderId="4" xfId="0" applyFont="1" applyFill="1" applyBorder="1" applyAlignment="1" applyProtection="1">
      <alignment vertical="top" wrapText="1"/>
      <protection locked="0"/>
    </xf>
    <xf numFmtId="9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3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2" fontId="6" fillId="0" borderId="51" xfId="0" applyNumberFormat="1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 vertical="center" wrapText="1"/>
      <protection locked="0"/>
    </xf>
    <xf numFmtId="0" fontId="20" fillId="0" borderId="72" xfId="0" applyFont="1" applyFill="1" applyBorder="1" applyAlignment="1" applyProtection="1">
      <alignment horizontal="center"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0" xfId="0" applyNumberFormat="1" applyFont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 applyProtection="1">
      <alignment horizontal="center" vertical="top" wrapText="1"/>
      <protection locked="0"/>
    </xf>
    <xf numFmtId="0" fontId="20" fillId="0" borderId="13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9" fontId="20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3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2" fontId="6" fillId="0" borderId="32" xfId="0" applyNumberFormat="1" applyFont="1" applyBorder="1" applyAlignment="1" applyProtection="1">
      <alignment horizontal="center" vertical="center" wrapText="1"/>
      <protection locked="0"/>
    </xf>
    <xf numFmtId="2" fontId="6" fillId="0" borderId="34" xfId="0" applyNumberFormat="1" applyFont="1" applyBorder="1" applyAlignment="1" applyProtection="1">
      <alignment horizontal="center" vertical="center" wrapText="1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7" borderId="46" xfId="0" applyFont="1" applyFill="1" applyBorder="1" applyAlignment="1" applyProtection="1">
      <alignment horizontal="center" vertical="center" wrapText="1"/>
      <protection locked="0"/>
    </xf>
    <xf numFmtId="0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9" fontId="20" fillId="0" borderId="31" xfId="7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9" fontId="20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0" quotePrefix="1" applyFont="1" applyFill="1" applyBorder="1" applyAlignment="1" applyProtection="1">
      <alignment horizontal="center" vertical="center" wrapText="1"/>
      <protection locked="0"/>
    </xf>
    <xf numFmtId="0" fontId="20" fillId="0" borderId="36" xfId="0" quotePrefix="1" applyFont="1" applyFill="1" applyBorder="1" applyAlignment="1" applyProtection="1">
      <alignment horizontal="center" vertical="center" wrapText="1"/>
      <protection locked="0"/>
    </xf>
    <xf numFmtId="0" fontId="20" fillId="0" borderId="40" xfId="0" quotePrefix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justify" vertical="top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20" fillId="0" borderId="30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9" fontId="20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30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0" quotePrefix="1" applyFont="1" applyFill="1" applyBorder="1" applyAlignment="1" applyProtection="1">
      <alignment horizontal="center" vertical="center" wrapText="1"/>
      <protection locked="0"/>
    </xf>
    <xf numFmtId="0" fontId="20" fillId="0" borderId="37" xfId="0" quotePrefix="1" applyFont="1" applyFill="1" applyBorder="1" applyAlignment="1" applyProtection="1">
      <alignment horizontal="center" vertical="center" wrapText="1"/>
      <protection locked="0"/>
    </xf>
    <xf numFmtId="0" fontId="20" fillId="0" borderId="41" xfId="0" quotePrefix="1" applyFont="1" applyFill="1" applyBorder="1" applyAlignment="1" applyProtection="1">
      <alignment horizontal="center" vertical="center" wrapText="1"/>
      <protection locked="0"/>
    </xf>
    <xf numFmtId="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1" fontId="20" fillId="0" borderId="30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1" fontId="20" fillId="0" borderId="31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top" wrapText="1"/>
      <protection locked="0"/>
    </xf>
    <xf numFmtId="0" fontId="20" fillId="0" borderId="2" xfId="0" applyFont="1" applyFill="1" applyBorder="1" applyAlignment="1" applyProtection="1">
      <alignment vertical="top" wrapText="1"/>
      <protection locked="0"/>
    </xf>
    <xf numFmtId="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2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justify" vertical="center" wrapText="1"/>
      <protection locked="0"/>
    </xf>
    <xf numFmtId="2" fontId="20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top" wrapText="1"/>
      <protection locked="0"/>
    </xf>
    <xf numFmtId="0" fontId="20" fillId="0" borderId="45" xfId="0" applyFont="1" applyFill="1" applyBorder="1" applyAlignment="1" applyProtection="1">
      <alignment horizontal="left" vertical="top" wrapText="1"/>
      <protection locked="0"/>
    </xf>
    <xf numFmtId="9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Protection="1">
      <protection locked="0"/>
    </xf>
    <xf numFmtId="170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top" wrapText="1"/>
      <protection locked="0"/>
    </xf>
    <xf numFmtId="0" fontId="20" fillId="0" borderId="42" xfId="0" applyFont="1" applyFill="1" applyBorder="1" applyAlignment="1" applyProtection="1">
      <alignment horizontal="left" vertical="top" wrapText="1"/>
      <protection locked="0"/>
    </xf>
    <xf numFmtId="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Protection="1">
      <protection locked="0"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170" fontId="2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20" fillId="0" borderId="51" xfId="0" applyFont="1" applyFill="1" applyBorder="1" applyAlignment="1" applyProtection="1">
      <alignment horizontal="center" vertical="top"/>
      <protection locked="0"/>
    </xf>
    <xf numFmtId="0" fontId="20" fillId="0" borderId="36" xfId="0" applyFont="1" applyFill="1" applyBorder="1" applyAlignment="1" applyProtection="1">
      <alignment horizontal="left" vertical="top" wrapText="1"/>
      <protection locked="0"/>
    </xf>
    <xf numFmtId="0" fontId="20" fillId="0" borderId="36" xfId="0" applyFont="1" applyFill="1" applyBorder="1" applyAlignment="1" applyProtection="1">
      <alignment horizontal="left" vertical="top" wrapText="1"/>
      <protection locked="0"/>
    </xf>
    <xf numFmtId="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Protection="1"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top"/>
      <protection locked="0"/>
    </xf>
    <xf numFmtId="0" fontId="20" fillId="0" borderId="35" xfId="0" applyFont="1" applyFill="1" applyBorder="1" applyAlignment="1" applyProtection="1">
      <alignment horizontal="left" vertical="top" wrapText="1"/>
      <protection locked="0"/>
    </xf>
    <xf numFmtId="0" fontId="20" fillId="0" borderId="35" xfId="0" applyFont="1" applyFill="1" applyBorder="1" applyAlignment="1" applyProtection="1">
      <alignment horizontal="left" vertical="top" wrapText="1"/>
      <protection locked="0"/>
    </xf>
    <xf numFmtId="9" fontId="6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Protection="1"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170" fontId="2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top" wrapText="1"/>
      <protection locked="0"/>
    </xf>
    <xf numFmtId="0" fontId="20" fillId="0" borderId="27" xfId="0" applyFont="1" applyFill="1" applyBorder="1" applyAlignment="1" applyProtection="1">
      <alignment vertical="top" wrapText="1"/>
      <protection locked="0"/>
    </xf>
    <xf numFmtId="9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Protection="1">
      <protection locked="0"/>
    </xf>
    <xf numFmtId="9" fontId="2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vertical="top" wrapText="1"/>
      <protection locked="0"/>
    </xf>
    <xf numFmtId="0" fontId="20" fillId="0" borderId="27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Protection="1">
      <protection locked="0"/>
    </xf>
    <xf numFmtId="9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2" fontId="6" fillId="0" borderId="52" xfId="0" applyNumberFormat="1" applyFont="1" applyBorder="1" applyAlignment="1" applyProtection="1">
      <alignment horizontal="center" vertical="center" wrapText="1"/>
      <protection locked="0"/>
    </xf>
    <xf numFmtId="2" fontId="6" fillId="0" borderId="53" xfId="0" applyNumberFormat="1" applyFont="1" applyBorder="1" applyAlignment="1" applyProtection="1">
      <alignment horizontal="center" vertical="center" wrapText="1"/>
      <protection locked="0"/>
    </xf>
    <xf numFmtId="2" fontId="6" fillId="0" borderId="48" xfId="0" applyNumberFormat="1" applyFont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9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16" borderId="2" xfId="0" applyNumberFormat="1" applyFont="1" applyFill="1" applyBorder="1" applyAlignment="1" applyProtection="1">
      <alignment horizontal="center" vertical="center"/>
      <protection locked="0"/>
    </xf>
    <xf numFmtId="2" fontId="6" fillId="16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2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7" borderId="17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top"/>
      <protection locked="0"/>
    </xf>
    <xf numFmtId="0" fontId="20" fillId="0" borderId="4" xfId="0" applyFont="1" applyFill="1" applyBorder="1" applyAlignment="1" applyProtection="1">
      <alignment vertical="center" wrapText="1"/>
      <protection locked="0"/>
    </xf>
    <xf numFmtId="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Protection="1"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72" xfId="0" applyFont="1" applyFill="1" applyBorder="1" applyAlignment="1" applyProtection="1">
      <alignment horizontal="center" vertical="top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Border="1" applyProtection="1"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20" fillId="0" borderId="9" xfId="0" applyFont="1" applyBorder="1" applyProtection="1"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 applyProtection="1">
      <alignment horizontal="center" vertical="top"/>
      <protection locked="0"/>
    </xf>
    <xf numFmtId="0" fontId="20" fillId="0" borderId="13" xfId="0" applyFont="1" applyFill="1" applyBorder="1" applyAlignment="1" applyProtection="1">
      <alignment vertical="center" wrapText="1"/>
      <protection locked="0"/>
    </xf>
    <xf numFmtId="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9" fontId="6" fillId="16" borderId="32" xfId="0" applyNumberFormat="1" applyFont="1" applyFill="1" applyBorder="1" applyAlignment="1" applyProtection="1">
      <alignment horizontal="center" vertical="center"/>
      <protection locked="0"/>
    </xf>
    <xf numFmtId="9" fontId="6" fillId="16" borderId="34" xfId="0" applyNumberFormat="1" applyFont="1" applyFill="1" applyBorder="1" applyAlignment="1" applyProtection="1">
      <alignment horizontal="center" vertical="center"/>
      <protection locked="0"/>
    </xf>
    <xf numFmtId="2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6" fillId="13" borderId="1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20" fillId="5" borderId="2" xfId="0" applyFont="1" applyFill="1" applyBorder="1" applyAlignment="1" applyProtection="1">
      <alignment horizontal="left" vertical="top" wrapText="1"/>
      <protection locked="0"/>
    </xf>
    <xf numFmtId="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Font="1" applyBorder="1" applyProtection="1"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170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7" xfId="0" applyNumberFormat="1" applyFont="1" applyBorder="1" applyAlignment="1" applyProtection="1">
      <alignment horizontal="center" vertical="center" wrapText="1"/>
      <protection locked="0"/>
    </xf>
    <xf numFmtId="0" fontId="20" fillId="0" borderId="74" xfId="0" applyFont="1" applyFill="1" applyBorder="1" applyAlignment="1" applyProtection="1">
      <alignment horizontal="center" vertical="top" wrapText="1"/>
      <protection locked="0"/>
    </xf>
    <xf numFmtId="9" fontId="20" fillId="0" borderId="65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Border="1" applyProtection="1"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center" vertical="top" wrapText="1"/>
      <protection locked="0"/>
    </xf>
    <xf numFmtId="0" fontId="6" fillId="6" borderId="30" xfId="0" applyFont="1" applyFill="1" applyBorder="1" applyAlignment="1" applyProtection="1">
      <alignment horizontal="center" vertical="center" wrapText="1"/>
      <protection locked="0"/>
    </xf>
    <xf numFmtId="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41" xfId="0" applyFont="1" applyFill="1" applyBorder="1" applyAlignment="1" applyProtection="1">
      <alignment horizontal="center" vertical="center"/>
      <protection locked="0"/>
    </xf>
    <xf numFmtId="0" fontId="6" fillId="6" borderId="64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44" xfId="0" applyFont="1" applyFill="1" applyBorder="1" applyAlignment="1" applyProtection="1">
      <alignment horizontal="center" vertical="center"/>
      <protection locked="0"/>
    </xf>
    <xf numFmtId="0" fontId="6" fillId="6" borderId="60" xfId="0" applyFont="1" applyFill="1" applyBorder="1" applyAlignment="1" applyProtection="1">
      <alignment horizontal="center" vertical="center"/>
      <protection locked="0"/>
    </xf>
    <xf numFmtId="0" fontId="6" fillId="6" borderId="69" xfId="0" applyFont="1" applyFill="1" applyBorder="1" applyAlignment="1" applyProtection="1">
      <alignment horizontal="center" vertical="center"/>
      <protection locked="0"/>
    </xf>
    <xf numFmtId="9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Protection="1"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17" borderId="1" xfId="0" applyFont="1" applyFill="1" applyBorder="1" applyAlignment="1" applyProtection="1">
      <alignment horizontal="center" vertical="top" wrapText="1"/>
      <protection locked="0"/>
    </xf>
    <xf numFmtId="0" fontId="20" fillId="17" borderId="34" xfId="0" applyFont="1" applyFill="1" applyBorder="1" applyAlignment="1" applyProtection="1">
      <alignment horizontal="center" vertical="top" wrapText="1"/>
      <protection locked="0"/>
    </xf>
    <xf numFmtId="0" fontId="20" fillId="17" borderId="20" xfId="0" applyFont="1" applyFill="1" applyBorder="1" applyAlignment="1" applyProtection="1">
      <alignment horizontal="center" vertical="top" wrapText="1"/>
      <protection locked="0"/>
    </xf>
    <xf numFmtId="2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9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9" fontId="20" fillId="16" borderId="59" xfId="0" applyNumberFormat="1" applyFont="1" applyFill="1" applyBorder="1" applyAlignment="1" applyProtection="1">
      <alignment horizontal="center" vertical="center"/>
      <protection locked="0"/>
    </xf>
    <xf numFmtId="2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Protection="1"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5" fillId="13" borderId="27" xfId="0" applyFont="1" applyFill="1" applyBorder="1" applyAlignment="1" applyProtection="1">
      <alignment horizontal="center" vertical="center" wrapText="1"/>
      <protection locked="0"/>
    </xf>
    <xf numFmtId="0" fontId="45" fillId="13" borderId="20" xfId="0" applyFont="1" applyFill="1" applyBorder="1" applyAlignment="1" applyProtection="1">
      <alignment horizontal="center" vertical="center" wrapText="1"/>
      <protection locked="0"/>
    </xf>
    <xf numFmtId="0" fontId="45" fillId="13" borderId="34" xfId="0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66" xfId="0" applyFont="1" applyFill="1" applyBorder="1" applyAlignment="1" applyProtection="1">
      <alignment horizontal="left" vertical="center" wrapText="1"/>
      <protection locked="0"/>
    </xf>
    <xf numFmtId="0" fontId="18" fillId="0" borderId="58" xfId="0" quotePrefix="1" applyFont="1" applyFill="1" applyBorder="1" applyAlignment="1" applyProtection="1">
      <alignment horizontal="center" vertical="center" wrapText="1"/>
      <protection locked="0"/>
    </xf>
    <xf numFmtId="0" fontId="18" fillId="0" borderId="38" xfId="0" quotePrefix="1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8" fillId="0" borderId="64" xfId="0" applyFont="1" applyFill="1" applyBorder="1" applyAlignment="1" applyProtection="1">
      <alignment horizontal="left" vertical="center" wrapTex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2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2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5" xfId="0" applyFont="1" applyBorder="1" applyAlignment="1" applyProtection="1">
      <alignment horizontal="center" vertical="center"/>
      <protection locked="0"/>
    </xf>
    <xf numFmtId="0" fontId="41" fillId="0" borderId="48" xfId="0" applyFont="1" applyBorder="1" applyAlignment="1" applyProtection="1">
      <alignment horizontal="left" vertical="center"/>
      <protection locked="0"/>
    </xf>
    <xf numFmtId="0" fontId="41" fillId="0" borderId="53" xfId="0" applyFont="1" applyBorder="1" applyAlignment="1" applyProtection="1">
      <alignment horizontal="center" vertical="center"/>
      <protection locked="0"/>
    </xf>
    <xf numFmtId="2" fontId="43" fillId="0" borderId="35" xfId="0" applyNumberFormat="1" applyFont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center" vertical="center" wrapText="1"/>
      <protection locked="0"/>
    </xf>
    <xf numFmtId="0" fontId="45" fillId="14" borderId="16" xfId="0" applyFont="1" applyFill="1" applyBorder="1" applyAlignment="1" applyProtection="1">
      <alignment horizontal="center" vertical="center"/>
      <protection locked="0"/>
    </xf>
    <xf numFmtId="0" fontId="45" fillId="14" borderId="78" xfId="0" applyFont="1" applyFill="1" applyBorder="1" applyAlignment="1" applyProtection="1">
      <alignment horizontal="center" vertical="center"/>
      <protection locked="0"/>
    </xf>
    <xf numFmtId="0" fontId="45" fillId="14" borderId="59" xfId="0" applyFont="1" applyFill="1" applyBorder="1" applyAlignment="1" applyProtection="1">
      <alignment horizontal="center" vertical="center"/>
      <protection locked="0"/>
    </xf>
    <xf numFmtId="2" fontId="45" fillId="14" borderId="45" xfId="0" applyNumberFormat="1" applyFont="1" applyFill="1" applyBorder="1" applyAlignment="1" applyProtection="1">
      <alignment horizontal="center" vertical="center"/>
      <protection locked="0"/>
    </xf>
    <xf numFmtId="0" fontId="41" fillId="7" borderId="45" xfId="0" applyFont="1" applyFill="1" applyBorder="1" applyProtection="1"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170" fontId="41" fillId="0" borderId="0" xfId="0" applyNumberFormat="1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5" xfId="0" applyFont="1" applyFill="1" applyBorder="1" applyAlignment="1" applyProtection="1">
      <alignment vertical="center"/>
      <protection locked="0"/>
    </xf>
    <xf numFmtId="2" fontId="43" fillId="9" borderId="5" xfId="0" applyNumberFormat="1" applyFont="1" applyFill="1" applyBorder="1" applyAlignment="1" applyProtection="1">
      <alignment horizontal="center" vertical="center"/>
      <protection locked="0"/>
    </xf>
  </cellXfs>
  <cellStyles count="11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96" xfId="6" xr:uid="{00000000-0005-0000-0000-000006000000}"/>
    <cellStyle name="Percent" xfId="7" builtinId="5"/>
    <cellStyle name="Percent 2" xfId="8" xr:uid="{00000000-0005-0000-0000-000008000000}"/>
    <cellStyle name="Percent 3" xfId="9" xr:uid="{00000000-0005-0000-0000-000009000000}"/>
    <cellStyle name="標準 2" xfId="10" xr:uid="{00000000-0005-0000-0000-00000A000000}"/>
  </cellStyles>
  <dxfs count="105"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206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10</xdr:row>
      <xdr:rowOff>0</xdr:rowOff>
    </xdr:from>
    <xdr:to>
      <xdr:col>9</xdr:col>
      <xdr:colOff>3</xdr:colOff>
      <xdr:row>24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9483714-CD0E-4D54-B6BC-DFDB0E3D1925}"/>
            </a:ext>
          </a:extLst>
        </xdr:cNvPr>
        <xdr:cNvSpPr/>
      </xdr:nvSpPr>
      <xdr:spPr>
        <a:xfrm>
          <a:off x="192405" y="2533650"/>
          <a:ext cx="7999098" cy="2667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 sz="14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PUSAT IDEA</a:t>
          </a:r>
        </a:p>
        <a:p>
          <a:r>
            <a:rPr lang="en-US" sz="14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ARAS 2, KOMPLEKS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PENYELIDIKAN</a:t>
          </a:r>
        </a:p>
        <a:p>
          <a:r>
            <a:rPr lang="en-US" sz="14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43600 UNIVERSITI KEBANGSAAN MALAYSIA</a:t>
          </a:r>
        </a:p>
        <a:p>
          <a:r>
            <a:rPr lang="en-US" sz="14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BANGI, SELANGOR</a:t>
          </a:r>
          <a:endParaRPr lang="en-US" sz="14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4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Opening Date of  Application   : </a:t>
          </a:r>
        </a:p>
        <a:p>
          <a:pPr algn="l"/>
          <a: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Closing Date of Application     :  </a:t>
          </a:r>
          <a:endParaRPr lang="en-US" sz="1400" b="1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176001</xdr:colOff>
      <xdr:row>71</xdr:row>
      <xdr:rowOff>0</xdr:rowOff>
    </xdr:from>
    <xdr:to>
      <xdr:col>9</xdr:col>
      <xdr:colOff>1915</xdr:colOff>
      <xdr:row>78</xdr:row>
      <xdr:rowOff>122532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2111104-67EA-4E16-895A-159772EBF86A}"/>
            </a:ext>
          </a:extLst>
        </xdr:cNvPr>
        <xdr:cNvSpPr/>
      </xdr:nvSpPr>
      <xdr:spPr>
        <a:xfrm>
          <a:off x="181716" y="21691023"/>
          <a:ext cx="8182966" cy="147884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FOR ANY INQUIRY</a:t>
          </a:r>
          <a:r>
            <a:rPr lang="en-US" sz="11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: </a:t>
          </a:r>
        </a:p>
        <a:p>
          <a:pPr algn="l"/>
          <a:endParaRPr lang="en-US" sz="1100" b="1" u="sng">
            <a:ln>
              <a:solidFill>
                <a:schemeClr val="accent2">
                  <a:lumMod val="20000"/>
                  <a:lumOff val="80000"/>
                </a:schemeClr>
              </a:solidFill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</a:t>
          </a:r>
          <a:r>
            <a:rPr lang="en-US" sz="1100" b="1" u="non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PUAN IZZIATI MAS ADAVEENA                                     CIK BISMI NURUL AIN JANNAH</a:t>
          </a:r>
          <a:endParaRPr lang="en-US" sz="1100" b="1" u="sng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</a:t>
          </a:r>
        </a:p>
        <a:p>
          <a:pPr algn="l"/>
          <a:r>
            <a:rPr lang="en-US" sz="11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</a:t>
          </a:r>
          <a:r>
            <a:rPr lang="en-US" sz="1100" b="1" u="non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03 - 8911 8264                                                                   03 - 8911 8265</a:t>
          </a:r>
          <a:endParaRPr lang="en-US" sz="1100" b="1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endParaRPr lang="en-US" sz="1100" b="1" u="sng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</a:t>
          </a:r>
          <a:r>
            <a:rPr lang="en-US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izziatimasadaveena@ukm.edu.my                                  bismi@ukm.edu.my</a:t>
          </a:r>
          <a:endParaRPr lang="en-US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175999</xdr:colOff>
      <xdr:row>78</xdr:row>
      <xdr:rowOff>86677</xdr:rowOff>
    </xdr:from>
    <xdr:to>
      <xdr:col>9</xdr:col>
      <xdr:colOff>8659</xdr:colOff>
      <xdr:row>80</xdr:row>
      <xdr:rowOff>78994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A12BDAD-35D6-40A3-9114-5E3897949964}"/>
            </a:ext>
          </a:extLst>
        </xdr:cNvPr>
        <xdr:cNvSpPr/>
      </xdr:nvSpPr>
      <xdr:spPr>
        <a:xfrm>
          <a:off x="175999" y="23118820"/>
          <a:ext cx="8058796" cy="365554"/>
        </a:xfrm>
        <a:prstGeom prst="rect">
          <a:avLst/>
        </a:prstGeom>
        <a:solidFill>
          <a:schemeClr val="tx2"/>
        </a:solidFill>
        <a:ln w="6350"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b="1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MOHE COPYRIGHT 2021</a:t>
          </a:r>
          <a:endParaRPr lang="en-US" sz="1400" b="1" u="none" baseline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133350</xdr:colOff>
      <xdr:row>75</xdr:row>
      <xdr:rowOff>9525</xdr:rowOff>
    </xdr:from>
    <xdr:to>
      <xdr:col>1</xdr:col>
      <xdr:colOff>438150</xdr:colOff>
      <xdr:row>76</xdr:row>
      <xdr:rowOff>85725</xdr:rowOff>
    </xdr:to>
    <xdr:sp macro="" textlink="">
      <xdr:nvSpPr>
        <xdr:cNvPr id="13411" name="Rectangle 4" descr="tepon">
          <a:extLst>
            <a:ext uri="{FF2B5EF4-FFF2-40B4-BE49-F238E27FC236}">
              <a16:creationId xmlns:a16="http://schemas.microsoft.com/office/drawing/2014/main" id="{82CF1387-5FFD-64DB-C67F-CA89550094F5}"/>
            </a:ext>
          </a:extLst>
        </xdr:cNvPr>
        <xdr:cNvSpPr>
          <a:spLocks noChangeArrowheads="1"/>
        </xdr:cNvSpPr>
      </xdr:nvSpPr>
      <xdr:spPr bwMode="auto">
        <a:xfrm>
          <a:off x="323850" y="22469475"/>
          <a:ext cx="304800" cy="2667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76</xdr:row>
      <xdr:rowOff>142875</xdr:rowOff>
    </xdr:from>
    <xdr:to>
      <xdr:col>1</xdr:col>
      <xdr:colOff>438150</xdr:colOff>
      <xdr:row>78</xdr:row>
      <xdr:rowOff>28575</xdr:rowOff>
    </xdr:to>
    <xdr:sp macro="" textlink="">
      <xdr:nvSpPr>
        <xdr:cNvPr id="13412" name="Rectangle 5" descr="email">
          <a:extLst>
            <a:ext uri="{FF2B5EF4-FFF2-40B4-BE49-F238E27FC236}">
              <a16:creationId xmlns:a16="http://schemas.microsoft.com/office/drawing/2014/main" id="{031A9020-F435-71C9-EBC0-E110EC12244C}"/>
            </a:ext>
          </a:extLst>
        </xdr:cNvPr>
        <xdr:cNvSpPr>
          <a:spLocks noChangeArrowheads="1"/>
        </xdr:cNvSpPr>
      </xdr:nvSpPr>
      <xdr:spPr bwMode="auto">
        <a:xfrm>
          <a:off x="323850" y="22793325"/>
          <a:ext cx="304800" cy="2667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442828</xdr:colOff>
      <xdr:row>2</xdr:row>
      <xdr:rowOff>72833</xdr:rowOff>
    </xdr:from>
    <xdr:to>
      <xdr:col>6</xdr:col>
      <xdr:colOff>519602</xdr:colOff>
      <xdr:row>6</xdr:row>
      <xdr:rowOff>146195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7D33136-A432-45F0-B3E2-81CEAE0BEA23}"/>
            </a:ext>
          </a:extLst>
        </xdr:cNvPr>
        <xdr:cNvSpPr/>
      </xdr:nvSpPr>
      <xdr:spPr>
        <a:xfrm>
          <a:off x="2667002" y="453833"/>
          <a:ext cx="3065315" cy="827713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MY"/>
        </a:p>
      </xdr:txBody>
    </xdr:sp>
    <xdr:clientData/>
  </xdr:twoCellAnchor>
  <xdr:twoCellAnchor>
    <xdr:from>
      <xdr:col>4</xdr:col>
      <xdr:colOff>561975</xdr:colOff>
      <xdr:row>75</xdr:row>
      <xdr:rowOff>9525</xdr:rowOff>
    </xdr:from>
    <xdr:to>
      <xdr:col>4</xdr:col>
      <xdr:colOff>866775</xdr:colOff>
      <xdr:row>76</xdr:row>
      <xdr:rowOff>85725</xdr:rowOff>
    </xdr:to>
    <xdr:sp macro="" textlink="">
      <xdr:nvSpPr>
        <xdr:cNvPr id="13414" name="Rectangle 4" descr="tepon">
          <a:extLst>
            <a:ext uri="{FF2B5EF4-FFF2-40B4-BE49-F238E27FC236}">
              <a16:creationId xmlns:a16="http://schemas.microsoft.com/office/drawing/2014/main" id="{4A56E216-3DE8-E06C-AC42-23F5829B0DFC}"/>
            </a:ext>
          </a:extLst>
        </xdr:cNvPr>
        <xdr:cNvSpPr>
          <a:spLocks noChangeArrowheads="1"/>
        </xdr:cNvSpPr>
      </xdr:nvSpPr>
      <xdr:spPr bwMode="auto">
        <a:xfrm>
          <a:off x="3752850" y="22469475"/>
          <a:ext cx="304800" cy="2667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561975</xdr:colOff>
      <xdr:row>76</xdr:row>
      <xdr:rowOff>142875</xdr:rowOff>
    </xdr:from>
    <xdr:to>
      <xdr:col>4</xdr:col>
      <xdr:colOff>866775</xdr:colOff>
      <xdr:row>78</xdr:row>
      <xdr:rowOff>28575</xdr:rowOff>
    </xdr:to>
    <xdr:sp macro="" textlink="">
      <xdr:nvSpPr>
        <xdr:cNvPr id="13415" name="Rectangle 5" descr="email">
          <a:extLst>
            <a:ext uri="{FF2B5EF4-FFF2-40B4-BE49-F238E27FC236}">
              <a16:creationId xmlns:a16="http://schemas.microsoft.com/office/drawing/2014/main" id="{7E55C682-8527-8ABB-4685-88035FF71E9D}"/>
            </a:ext>
          </a:extLst>
        </xdr:cNvPr>
        <xdr:cNvSpPr>
          <a:spLocks noChangeArrowheads="1"/>
        </xdr:cNvSpPr>
      </xdr:nvSpPr>
      <xdr:spPr bwMode="auto">
        <a:xfrm>
          <a:off x="3752850" y="22793325"/>
          <a:ext cx="304800" cy="2667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111</xdr:row>
      <xdr:rowOff>38100</xdr:rowOff>
    </xdr:from>
    <xdr:to>
      <xdr:col>3</xdr:col>
      <xdr:colOff>1914525</xdr:colOff>
      <xdr:row>116</xdr:row>
      <xdr:rowOff>104775</xdr:rowOff>
    </xdr:to>
    <xdr:grpSp>
      <xdr:nvGrpSpPr>
        <xdr:cNvPr id="14468" name="Group 12">
          <a:extLst>
            <a:ext uri="{FF2B5EF4-FFF2-40B4-BE49-F238E27FC236}">
              <a16:creationId xmlns:a16="http://schemas.microsoft.com/office/drawing/2014/main" id="{2D043167-2658-1FB0-BE38-006C6BBBE24B}"/>
            </a:ext>
          </a:extLst>
        </xdr:cNvPr>
        <xdr:cNvGrpSpPr>
          <a:grpSpLocks/>
        </xdr:cNvGrpSpPr>
      </xdr:nvGrpSpPr>
      <xdr:grpSpPr bwMode="auto">
        <a:xfrm>
          <a:off x="452438" y="45639038"/>
          <a:ext cx="3736181" cy="1078706"/>
          <a:chOff x="427935" y="35811710"/>
          <a:chExt cx="3740978" cy="963073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34E0E10-BFA3-4555-B477-2AA11D5E6A4D}"/>
              </a:ext>
            </a:extLst>
          </xdr:cNvPr>
          <xdr:cNvSpPr/>
        </xdr:nvSpPr>
        <xdr:spPr bwMode="auto">
          <a:xfrm>
            <a:off x="427935" y="35811710"/>
            <a:ext cx="3740978" cy="963073"/>
          </a:xfrm>
          <a:prstGeom prst="rect">
            <a:avLst/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000000"/>
              </a:solidFill>
            </a:endParaRPr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13303960-92CD-4C53-B79D-387DE27930AE}"/>
              </a:ext>
            </a:extLst>
          </xdr:cNvPr>
          <xdr:cNvSpPr/>
        </xdr:nvSpPr>
        <xdr:spPr bwMode="auto">
          <a:xfrm>
            <a:off x="656974" y="36430828"/>
            <a:ext cx="238583" cy="197774"/>
          </a:xfrm>
          <a:prstGeom prst="ellipse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FFFFFF"/>
              </a:solidFill>
            </a:endParaRPr>
          </a:p>
        </xdr:txBody>
      </xdr:sp>
      <xdr:sp macro="" textlink="">
        <xdr:nvSpPr>
          <xdr:cNvPr id="5" name="TextBox 39">
            <a:extLst>
              <a:ext uri="{FF2B5EF4-FFF2-40B4-BE49-F238E27FC236}">
                <a16:creationId xmlns:a16="http://schemas.microsoft.com/office/drawing/2014/main" id="{DBA117B7-07F0-47A4-B1E9-83D5BB7C57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7022" y="35837507"/>
            <a:ext cx="1832316" cy="2579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 b="1"/>
              <a:t>Petunjuk Mark</a:t>
            </a:r>
            <a:r>
              <a:rPr lang="en-US" altLang="en-US" sz="1100" b="1" baseline="0"/>
              <a:t> Obtained</a:t>
            </a:r>
            <a:endParaRPr lang="en-US" altLang="en-US" sz="1100" b="1"/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902E5FF0-602A-4DB2-8190-4E20C3F3461B}"/>
              </a:ext>
            </a:extLst>
          </xdr:cNvPr>
          <xdr:cNvSpPr/>
        </xdr:nvSpPr>
        <xdr:spPr bwMode="auto">
          <a:xfrm>
            <a:off x="2298424" y="36112670"/>
            <a:ext cx="229039" cy="206373"/>
          </a:xfrm>
          <a:prstGeom prst="ellipse">
            <a:avLst/>
          </a:prstGeom>
          <a:solidFill>
            <a:srgbClr val="FFFF00"/>
          </a:solidFill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FFFFFF"/>
              </a:solidFill>
            </a:endParaRPr>
          </a:p>
        </xdr:txBody>
      </xdr:sp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37837266-40D5-4670-B9D9-72270E27AE68}"/>
              </a:ext>
            </a:extLst>
          </xdr:cNvPr>
          <xdr:cNvSpPr/>
        </xdr:nvSpPr>
        <xdr:spPr bwMode="auto">
          <a:xfrm>
            <a:off x="2298424" y="36430828"/>
            <a:ext cx="229039" cy="197774"/>
          </a:xfrm>
          <a:prstGeom prst="ellipse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FFFFFF"/>
              </a:solidFill>
            </a:endParaRPr>
          </a:p>
        </xdr:txBody>
      </xdr:sp>
      <xdr:sp macro="" textlink="">
        <xdr:nvSpPr>
          <xdr:cNvPr id="8" name="TextBox 42">
            <a:extLst>
              <a:ext uri="{FF2B5EF4-FFF2-40B4-BE49-F238E27FC236}">
                <a16:creationId xmlns:a16="http://schemas.microsoft.com/office/drawing/2014/main" id="{F3E9CBBD-9C70-4BDA-B8CF-ED9F8BFB42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5557" y="36379235"/>
            <a:ext cx="1402867" cy="343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/>
              <a:t>80% - 100%</a:t>
            </a:r>
          </a:p>
        </xdr:txBody>
      </xdr:sp>
      <xdr:sp macro="" textlink="">
        <xdr:nvSpPr>
          <xdr:cNvPr id="9" name="TextBox 43">
            <a:extLst>
              <a:ext uri="{FF2B5EF4-FFF2-40B4-BE49-F238E27FC236}">
                <a16:creationId xmlns:a16="http://schemas.microsoft.com/office/drawing/2014/main" id="{0BFA76AC-E55E-4FFA-AE7F-005A4D9610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7463" y="36069676"/>
            <a:ext cx="1641450" cy="361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/>
              <a:t>60% - 79%</a:t>
            </a:r>
          </a:p>
        </xdr:txBody>
      </xdr:sp>
      <xdr:sp macro="" textlink="">
        <xdr:nvSpPr>
          <xdr:cNvPr id="10" name="TextBox 44">
            <a:extLst>
              <a:ext uri="{FF2B5EF4-FFF2-40B4-BE49-F238E27FC236}">
                <a16:creationId xmlns:a16="http://schemas.microsoft.com/office/drawing/2014/main" id="{59434946-8061-43A8-B9B2-9A26D9C759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7463" y="36379235"/>
            <a:ext cx="1641450" cy="343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/>
              <a:t>&lt; 60%</a:t>
            </a:r>
          </a:p>
        </xdr:txBody>
      </xdr:sp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BF3F7379-70E2-40E7-BE6A-B72D47633AF5}"/>
              </a:ext>
            </a:extLst>
          </xdr:cNvPr>
          <xdr:cNvSpPr/>
        </xdr:nvSpPr>
        <xdr:spPr bwMode="auto">
          <a:xfrm>
            <a:off x="656974" y="36112670"/>
            <a:ext cx="238583" cy="206373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en-US">
              <a:solidFill>
                <a:srgbClr val="FFFFFF"/>
              </a:solidFill>
            </a:endParaRPr>
          </a:p>
        </xdr:txBody>
      </xdr:sp>
      <xdr:sp macro="" textlink="">
        <xdr:nvSpPr>
          <xdr:cNvPr id="12" name="TextBox 48">
            <a:extLst>
              <a:ext uri="{FF2B5EF4-FFF2-40B4-BE49-F238E27FC236}">
                <a16:creationId xmlns:a16="http://schemas.microsoft.com/office/drawing/2014/main" id="{B44A7612-36CD-451D-BC6D-C3EEE92D07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5557" y="36069676"/>
            <a:ext cx="1173827" cy="361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altLang="en-US" sz="1100"/>
              <a:t>&gt; 100%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6"/>
  <sheetViews>
    <sheetView workbookViewId="0">
      <selection activeCell="D10" sqref="D10:D18"/>
    </sheetView>
  </sheetViews>
  <sheetFormatPr defaultColWidth="11.42578125" defaultRowHeight="16.5" x14ac:dyDescent="0.3"/>
  <cols>
    <col min="1" max="1" width="2.42578125" style="1" customWidth="1"/>
    <col min="2" max="2" width="5.28515625" style="2" customWidth="1"/>
    <col min="3" max="3" width="50.42578125" style="1" customWidth="1"/>
    <col min="4" max="4" width="97.85546875" style="4" customWidth="1"/>
    <col min="5" max="5" width="35.42578125" style="1" customWidth="1"/>
    <col min="6" max="6" width="14.140625" style="1" customWidth="1"/>
    <col min="7" max="16384" width="11.42578125" style="1"/>
  </cols>
  <sheetData>
    <row r="1" spans="2:5" s="2" customFormat="1" ht="18" x14ac:dyDescent="0.25">
      <c r="B1" s="267" t="s">
        <v>75</v>
      </c>
      <c r="C1" s="267"/>
      <c r="D1" s="267"/>
    </row>
    <row r="2" spans="2:5" s="2" customFormat="1" x14ac:dyDescent="0.25">
      <c r="B2" s="268" t="s">
        <v>15</v>
      </c>
      <c r="C2" s="269"/>
      <c r="D2" s="269"/>
    </row>
    <row r="3" spans="2:5" ht="17.25" thickBot="1" x14ac:dyDescent="0.35">
      <c r="E3" s="3"/>
    </row>
    <row r="4" spans="2:5" ht="17.25" thickBot="1" x14ac:dyDescent="0.35">
      <c r="B4" s="5" t="s">
        <v>16</v>
      </c>
      <c r="C4" s="6" t="s">
        <v>17</v>
      </c>
      <c r="D4" s="7" t="s">
        <v>18</v>
      </c>
    </row>
    <row r="5" spans="2:5" ht="20.25" customHeight="1" x14ac:dyDescent="0.3">
      <c r="B5" s="270" t="s">
        <v>19</v>
      </c>
      <c r="C5" s="8" t="s">
        <v>20</v>
      </c>
      <c r="D5" s="272" t="s">
        <v>21</v>
      </c>
    </row>
    <row r="6" spans="2:5" ht="18.75" customHeight="1" x14ac:dyDescent="0.3">
      <c r="B6" s="271"/>
      <c r="C6" s="9" t="s">
        <v>22</v>
      </c>
      <c r="D6" s="273"/>
    </row>
    <row r="7" spans="2:5" ht="18.75" customHeight="1" x14ac:dyDescent="0.3">
      <c r="B7" s="271"/>
      <c r="C7" s="9" t="s">
        <v>23</v>
      </c>
      <c r="D7" s="273"/>
    </row>
    <row r="8" spans="2:5" ht="18.75" customHeight="1" x14ac:dyDescent="0.3">
      <c r="B8" s="271"/>
      <c r="C8" s="9" t="s">
        <v>24</v>
      </c>
      <c r="D8" s="273"/>
    </row>
    <row r="9" spans="2:5" ht="18.75" customHeight="1" thickBot="1" x14ac:dyDescent="0.35">
      <c r="B9" s="271"/>
      <c r="C9" s="9" t="s">
        <v>25</v>
      </c>
      <c r="D9" s="274"/>
    </row>
    <row r="10" spans="2:5" ht="31.5" customHeight="1" x14ac:dyDescent="0.3">
      <c r="B10" s="270" t="s">
        <v>26</v>
      </c>
      <c r="C10" s="8" t="s">
        <v>27</v>
      </c>
      <c r="D10" s="276" t="s">
        <v>35</v>
      </c>
    </row>
    <row r="11" spans="2:5" ht="31.5" customHeight="1" x14ac:dyDescent="0.3">
      <c r="B11" s="271"/>
      <c r="C11" s="9" t="s">
        <v>36</v>
      </c>
      <c r="D11" s="277"/>
    </row>
    <row r="12" spans="2:5" ht="31.5" customHeight="1" x14ac:dyDescent="0.3">
      <c r="B12" s="271"/>
      <c r="C12" s="9" t="s">
        <v>37</v>
      </c>
      <c r="D12" s="277"/>
    </row>
    <row r="13" spans="2:5" ht="31.5" customHeight="1" x14ac:dyDescent="0.3">
      <c r="B13" s="271"/>
      <c r="C13" s="9" t="s">
        <v>38</v>
      </c>
      <c r="D13" s="277"/>
    </row>
    <row r="14" spans="2:5" ht="31.5" customHeight="1" thickBot="1" x14ac:dyDescent="0.35">
      <c r="B14" s="275"/>
      <c r="C14" s="9" t="s">
        <v>39</v>
      </c>
      <c r="D14" s="277"/>
    </row>
    <row r="15" spans="2:5" ht="31.5" customHeight="1" thickBot="1" x14ac:dyDescent="0.35">
      <c r="B15" s="29" t="s">
        <v>40</v>
      </c>
      <c r="C15" s="35" t="s">
        <v>41</v>
      </c>
      <c r="D15" s="277"/>
    </row>
    <row r="16" spans="2:5" ht="31.5" customHeight="1" x14ac:dyDescent="0.3">
      <c r="B16" s="10"/>
      <c r="C16" s="36" t="s">
        <v>42</v>
      </c>
      <c r="D16" s="277"/>
    </row>
    <row r="17" spans="2:4" ht="31.5" customHeight="1" thickBot="1" x14ac:dyDescent="0.35">
      <c r="B17" s="11"/>
      <c r="C17" s="37" t="s">
        <v>77</v>
      </c>
      <c r="D17" s="277"/>
    </row>
    <row r="18" spans="2:4" ht="31.5" customHeight="1" thickBot="1" x14ac:dyDescent="0.35">
      <c r="B18" s="12" t="s">
        <v>43</v>
      </c>
      <c r="C18" s="13" t="s">
        <v>44</v>
      </c>
      <c r="D18" s="278"/>
    </row>
    <row r="19" spans="2:4" ht="33" customHeight="1" x14ac:dyDescent="0.3">
      <c r="B19" s="270" t="s">
        <v>45</v>
      </c>
      <c r="C19" s="279" t="s">
        <v>46</v>
      </c>
      <c r="D19" s="276" t="s">
        <v>61</v>
      </c>
    </row>
    <row r="20" spans="2:4" ht="17.25" thickBot="1" x14ac:dyDescent="0.35">
      <c r="B20" s="271"/>
      <c r="C20" s="280"/>
      <c r="D20" s="277"/>
    </row>
    <row r="21" spans="2:4" x14ac:dyDescent="0.3">
      <c r="B21" s="271"/>
      <c r="C21" s="279" t="s">
        <v>47</v>
      </c>
      <c r="D21" s="277"/>
    </row>
    <row r="22" spans="2:4" ht="17.25" thickBot="1" x14ac:dyDescent="0.35">
      <c r="B22" s="271"/>
      <c r="C22" s="280"/>
      <c r="D22" s="277"/>
    </row>
    <row r="23" spans="2:4" ht="17.25" thickBot="1" x14ac:dyDescent="0.35">
      <c r="B23" s="271"/>
      <c r="C23" s="8" t="s">
        <v>48</v>
      </c>
      <c r="D23" s="277"/>
    </row>
    <row r="24" spans="2:4" ht="17.25" thickBot="1" x14ac:dyDescent="0.35">
      <c r="B24" s="275"/>
      <c r="C24" s="8" t="s">
        <v>49</v>
      </c>
      <c r="D24" s="277"/>
    </row>
    <row r="25" spans="2:4" hidden="1" x14ac:dyDescent="0.3">
      <c r="B25" s="20"/>
      <c r="C25" s="19" t="s">
        <v>50</v>
      </c>
      <c r="D25" s="277"/>
    </row>
    <row r="26" spans="2:4" ht="17.25" hidden="1" thickBot="1" x14ac:dyDescent="0.35">
      <c r="B26" s="12"/>
      <c r="C26" s="14" t="s">
        <v>51</v>
      </c>
      <c r="D26" s="277"/>
    </row>
    <row r="27" spans="2:4" ht="26.25" hidden="1" thickBot="1" x14ac:dyDescent="0.35">
      <c r="B27" s="21"/>
      <c r="C27" s="15" t="s">
        <v>52</v>
      </c>
      <c r="D27" s="277"/>
    </row>
    <row r="28" spans="2:4" ht="16.5" customHeight="1" x14ac:dyDescent="0.3">
      <c r="B28" s="281" t="s">
        <v>53</v>
      </c>
      <c r="C28" s="16" t="s">
        <v>54</v>
      </c>
      <c r="D28" s="277"/>
    </row>
    <row r="29" spans="2:4" x14ac:dyDescent="0.3">
      <c r="B29" s="282"/>
      <c r="C29" s="17" t="s">
        <v>55</v>
      </c>
      <c r="D29" s="277"/>
    </row>
    <row r="30" spans="2:4" x14ac:dyDescent="0.3">
      <c r="B30" s="282"/>
      <c r="C30" s="17" t="s">
        <v>56</v>
      </c>
      <c r="D30" s="277"/>
    </row>
    <row r="31" spans="2:4" ht="17.25" thickBot="1" x14ac:dyDescent="0.35">
      <c r="B31" s="282"/>
      <c r="C31" s="17" t="s">
        <v>57</v>
      </c>
      <c r="D31" s="277"/>
    </row>
    <row r="32" spans="2:4" ht="23.25" customHeight="1" x14ac:dyDescent="0.3">
      <c r="B32" s="283"/>
      <c r="C32" s="42" t="s">
        <v>69</v>
      </c>
      <c r="D32" s="277"/>
    </row>
    <row r="33" spans="2:4" ht="23.25" customHeight="1" x14ac:dyDescent="0.3">
      <c r="B33" s="283"/>
      <c r="C33" s="43" t="s">
        <v>70</v>
      </c>
      <c r="D33" s="277"/>
    </row>
    <row r="34" spans="2:4" ht="23.25" customHeight="1" x14ac:dyDescent="0.3">
      <c r="B34" s="283"/>
      <c r="C34" s="43" t="s">
        <v>71</v>
      </c>
      <c r="D34" s="277"/>
    </row>
    <row r="35" spans="2:4" ht="23.25" customHeight="1" x14ac:dyDescent="0.3">
      <c r="B35" s="283"/>
      <c r="C35" s="43" t="s">
        <v>72</v>
      </c>
      <c r="D35" s="277"/>
    </row>
    <row r="36" spans="2:4" ht="23.25" customHeight="1" x14ac:dyDescent="0.3">
      <c r="B36" s="283"/>
      <c r="C36" s="43" t="s">
        <v>73</v>
      </c>
      <c r="D36" s="277"/>
    </row>
    <row r="37" spans="2:4" ht="23.25" customHeight="1" x14ac:dyDescent="0.3">
      <c r="B37" s="283"/>
      <c r="C37" s="43" t="s">
        <v>74</v>
      </c>
      <c r="D37" s="277"/>
    </row>
    <row r="38" spans="2:4" ht="23.25" customHeight="1" x14ac:dyDescent="0.3">
      <c r="B38" s="283"/>
      <c r="C38" s="44" t="s">
        <v>11</v>
      </c>
      <c r="D38" s="277"/>
    </row>
    <row r="39" spans="2:4" ht="23.25" customHeight="1" thickBot="1" x14ac:dyDescent="0.35">
      <c r="B39" s="284"/>
      <c r="C39" s="45" t="s">
        <v>12</v>
      </c>
      <c r="D39" s="278"/>
    </row>
    <row r="40" spans="2:4" hidden="1" x14ac:dyDescent="0.3">
      <c r="B40" s="24"/>
      <c r="C40" s="23" t="s">
        <v>11</v>
      </c>
      <c r="D40" s="30"/>
    </row>
    <row r="41" spans="2:4" ht="18.75" hidden="1" customHeight="1" thickBot="1" x14ac:dyDescent="0.35">
      <c r="B41" s="25"/>
      <c r="C41" s="22" t="s">
        <v>12</v>
      </c>
      <c r="D41" s="31"/>
    </row>
    <row r="42" spans="2:4" ht="27" hidden="1" customHeight="1" thickBot="1" x14ac:dyDescent="0.35">
      <c r="B42" s="18" t="s">
        <v>13</v>
      </c>
      <c r="C42" s="33" t="s">
        <v>14</v>
      </c>
      <c r="D42" s="273" t="s">
        <v>58</v>
      </c>
    </row>
    <row r="43" spans="2:4" ht="31.5" hidden="1" customHeight="1" thickBot="1" x14ac:dyDescent="0.35">
      <c r="B43" s="26" t="s">
        <v>59</v>
      </c>
      <c r="C43" s="34" t="s">
        <v>60</v>
      </c>
      <c r="D43" s="273"/>
    </row>
    <row r="44" spans="2:4" ht="41.25" hidden="1" customHeight="1" thickBot="1" x14ac:dyDescent="0.35">
      <c r="B44" s="27">
        <v>3</v>
      </c>
      <c r="C44" s="28" t="s">
        <v>68</v>
      </c>
      <c r="D44" s="32" t="s">
        <v>66</v>
      </c>
    </row>
    <row r="45" spans="2:4" ht="24.75" customHeight="1" thickBot="1" x14ac:dyDescent="0.35">
      <c r="B45" s="38" t="s">
        <v>13</v>
      </c>
      <c r="C45" s="40" t="s">
        <v>14</v>
      </c>
      <c r="D45" s="276" t="s">
        <v>58</v>
      </c>
    </row>
    <row r="46" spans="2:4" ht="24.75" customHeight="1" thickBot="1" x14ac:dyDescent="0.35">
      <c r="B46" s="39" t="s">
        <v>59</v>
      </c>
      <c r="C46" s="41" t="s">
        <v>60</v>
      </c>
      <c r="D46" s="278"/>
    </row>
  </sheetData>
  <mergeCells count="15">
    <mergeCell ref="D45:D46"/>
    <mergeCell ref="D42:D43"/>
    <mergeCell ref="B19:B20"/>
    <mergeCell ref="C19:C20"/>
    <mergeCell ref="B21:B22"/>
    <mergeCell ref="C21:C22"/>
    <mergeCell ref="B23:B24"/>
    <mergeCell ref="D19:D39"/>
    <mergeCell ref="B28:B39"/>
    <mergeCell ref="B1:D1"/>
    <mergeCell ref="B2:D2"/>
    <mergeCell ref="B5:B9"/>
    <mergeCell ref="D5:D9"/>
    <mergeCell ref="B10:B14"/>
    <mergeCell ref="D10:D18"/>
  </mergeCells>
  <phoneticPr fontId="16" type="noConversion"/>
  <pageMargins left="0.70866141732283472" right="0.70866141732283472" top="0.74803149606299213" bottom="0.74803149606299213" header="0.31496062992125984" footer="0.31496062992125984"/>
  <pageSetup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76"/>
  <sheetViews>
    <sheetView tabSelected="1" topLeftCell="A42" zoomScaleNormal="100" zoomScaleSheetLayoutView="100" workbookViewId="0">
      <selection activeCell="N82" sqref="N82"/>
    </sheetView>
  </sheetViews>
  <sheetFormatPr defaultRowHeight="15" x14ac:dyDescent="0.25"/>
  <cols>
    <col min="1" max="1" width="2.85546875" style="59" customWidth="1"/>
    <col min="2" max="9" width="15" style="59" customWidth="1"/>
    <col min="10" max="10" width="2.140625" style="59" customWidth="1"/>
    <col min="11" max="11" width="5.7109375" style="59" customWidth="1"/>
    <col min="12" max="16" width="10.28515625" style="59" customWidth="1"/>
    <col min="17" max="16384" width="9.140625" style="59"/>
  </cols>
  <sheetData>
    <row r="1" spans="1:11" x14ac:dyDescent="0.25">
      <c r="A1" s="91"/>
      <c r="B1" s="90"/>
      <c r="C1" s="90"/>
      <c r="D1" s="90"/>
      <c r="E1" s="90"/>
      <c r="F1" s="90"/>
      <c r="G1" s="90"/>
      <c r="H1" s="90"/>
      <c r="I1" s="90"/>
    </row>
    <row r="2" spans="1:11" x14ac:dyDescent="0.25">
      <c r="A2" s="92"/>
      <c r="B2" s="289"/>
      <c r="C2" s="289"/>
      <c r="D2" s="289"/>
      <c r="E2" s="289"/>
      <c r="F2" s="289"/>
      <c r="G2" s="289"/>
      <c r="H2" s="289"/>
      <c r="I2" s="290"/>
    </row>
    <row r="3" spans="1:11" x14ac:dyDescent="0.25">
      <c r="A3" s="88"/>
      <c r="B3" s="289"/>
      <c r="C3" s="289"/>
      <c r="D3" s="289"/>
      <c r="E3" s="289"/>
      <c r="F3" s="289"/>
      <c r="G3" s="289"/>
      <c r="H3" s="289"/>
      <c r="I3" s="290"/>
    </row>
    <row r="4" spans="1:11" x14ac:dyDescent="0.25">
      <c r="A4" s="88"/>
      <c r="B4" s="289"/>
      <c r="C4" s="289"/>
      <c r="D4" s="289"/>
      <c r="E4" s="289"/>
      <c r="F4" s="289"/>
      <c r="G4" s="289"/>
      <c r="H4" s="289"/>
      <c r="I4" s="290"/>
    </row>
    <row r="5" spans="1:11" x14ac:dyDescent="0.25">
      <c r="A5" s="88"/>
      <c r="B5" s="289"/>
      <c r="C5" s="289"/>
      <c r="D5" s="289"/>
      <c r="E5" s="289"/>
      <c r="F5" s="289"/>
      <c r="G5" s="289"/>
      <c r="H5" s="289"/>
      <c r="I5" s="290"/>
    </row>
    <row r="6" spans="1:11" x14ac:dyDescent="0.25">
      <c r="A6" s="88"/>
      <c r="B6" s="289"/>
      <c r="C6" s="289"/>
      <c r="D6" s="289"/>
      <c r="E6" s="289"/>
      <c r="F6" s="289"/>
      <c r="G6" s="289"/>
      <c r="H6" s="289"/>
      <c r="I6" s="290"/>
    </row>
    <row r="7" spans="1:11" ht="21" customHeight="1" x14ac:dyDescent="0.25">
      <c r="A7" s="89"/>
      <c r="B7" s="289"/>
      <c r="C7" s="289"/>
      <c r="D7" s="289"/>
      <c r="E7" s="289"/>
      <c r="F7" s="289"/>
      <c r="G7" s="289"/>
      <c r="H7" s="289"/>
      <c r="I7" s="290"/>
      <c r="J7" s="60"/>
      <c r="K7" s="60"/>
    </row>
    <row r="8" spans="1:11" ht="36" customHeight="1" x14ac:dyDescent="0.25">
      <c r="A8" s="89"/>
      <c r="B8" s="291" t="s">
        <v>173</v>
      </c>
      <c r="C8" s="291"/>
      <c r="D8" s="291"/>
      <c r="E8" s="291"/>
      <c r="F8" s="291"/>
      <c r="G8" s="291"/>
      <c r="H8" s="291"/>
      <c r="I8" s="292"/>
      <c r="J8" s="60"/>
      <c r="K8" s="60"/>
    </row>
    <row r="9" spans="1:11" ht="36" customHeight="1" x14ac:dyDescent="0.25">
      <c r="A9" s="89"/>
      <c r="B9" s="291" t="s">
        <v>352</v>
      </c>
      <c r="C9" s="291"/>
      <c r="D9" s="291"/>
      <c r="E9" s="291"/>
      <c r="F9" s="291"/>
      <c r="G9" s="291"/>
      <c r="H9" s="291"/>
      <c r="I9" s="292"/>
      <c r="J9" s="60"/>
      <c r="K9" s="60"/>
    </row>
    <row r="10" spans="1:11" ht="16.5" customHeight="1" x14ac:dyDescent="0.25">
      <c r="A10" s="66"/>
      <c r="B10" s="109"/>
      <c r="C10" s="109"/>
      <c r="D10" s="109"/>
      <c r="E10" s="109"/>
      <c r="F10" s="109"/>
      <c r="G10" s="109"/>
      <c r="H10" s="109"/>
      <c r="I10" s="110"/>
      <c r="J10" s="60"/>
      <c r="K10" s="60"/>
    </row>
    <row r="25" spans="1:16" ht="15.75" thickBot="1" x14ac:dyDescent="0.3">
      <c r="A25" s="70"/>
      <c r="B25" s="93"/>
      <c r="C25" s="93"/>
      <c r="D25" s="93"/>
      <c r="E25" s="93"/>
      <c r="F25" s="93"/>
      <c r="G25" s="93"/>
      <c r="H25" s="93"/>
      <c r="I25" s="94"/>
    </row>
    <row r="26" spans="1:16" ht="33" customHeight="1" thickBot="1" x14ac:dyDescent="0.3">
      <c r="A26" s="70"/>
      <c r="B26" s="95" t="s">
        <v>174</v>
      </c>
      <c r="C26" s="96"/>
      <c r="D26" s="96"/>
      <c r="E26" s="293"/>
      <c r="F26" s="294"/>
      <c r="G26" s="294"/>
      <c r="H26" s="295"/>
      <c r="I26" s="97"/>
    </row>
    <row r="27" spans="1:16" x14ac:dyDescent="0.25">
      <c r="A27" s="70"/>
      <c r="B27" s="98"/>
      <c r="C27" s="96"/>
      <c r="D27" s="96"/>
      <c r="E27" s="96"/>
      <c r="F27" s="96"/>
      <c r="G27" s="96"/>
      <c r="H27" s="96"/>
      <c r="I27" s="97"/>
    </row>
    <row r="28" spans="1:16" ht="15.75" customHeight="1" thickBot="1" x14ac:dyDescent="0.3">
      <c r="A28" s="70"/>
      <c r="B28" s="99" t="s">
        <v>175</v>
      </c>
      <c r="C28" s="96"/>
      <c r="D28" s="96"/>
      <c r="E28" s="96"/>
      <c r="F28" s="96"/>
      <c r="G28" s="96"/>
      <c r="H28" s="96"/>
      <c r="I28" s="97"/>
    </row>
    <row r="29" spans="1:16" s="61" customFormat="1" ht="48.75" customHeight="1" thickBot="1" x14ac:dyDescent="0.3">
      <c r="A29" s="71"/>
      <c r="B29" s="95" t="s">
        <v>176</v>
      </c>
      <c r="C29" s="100"/>
      <c r="D29" s="100"/>
      <c r="E29" s="293"/>
      <c r="F29" s="294"/>
      <c r="G29" s="294"/>
      <c r="H29" s="295"/>
      <c r="I29" s="101"/>
    </row>
    <row r="30" spans="1:16" ht="15.75" thickBot="1" x14ac:dyDescent="0.3">
      <c r="A30" s="70"/>
      <c r="B30" s="98"/>
      <c r="C30" s="96"/>
      <c r="D30" s="96"/>
      <c r="E30" s="96"/>
      <c r="F30" s="96"/>
      <c r="G30" s="96"/>
      <c r="H30" s="96"/>
      <c r="I30" s="97"/>
    </row>
    <row r="31" spans="1:16" s="61" customFormat="1" ht="30" customHeight="1" thickBot="1" x14ac:dyDescent="0.3">
      <c r="A31" s="71"/>
      <c r="B31" s="95" t="s">
        <v>177</v>
      </c>
      <c r="C31" s="100"/>
      <c r="D31" s="100"/>
      <c r="E31" s="293"/>
      <c r="F31" s="294"/>
      <c r="G31" s="294"/>
      <c r="H31" s="295"/>
      <c r="I31" s="101"/>
      <c r="L31" s="62"/>
      <c r="M31" s="63"/>
      <c r="N31" s="63"/>
      <c r="O31" s="63"/>
      <c r="P31" s="63"/>
    </row>
    <row r="32" spans="1:16" ht="15.75" customHeight="1" thickBot="1" x14ac:dyDescent="0.3">
      <c r="A32" s="70"/>
      <c r="B32" s="98"/>
      <c r="C32" s="96"/>
      <c r="D32" s="96"/>
      <c r="E32" s="96"/>
      <c r="F32" s="96"/>
      <c r="G32" s="96"/>
      <c r="H32" s="96"/>
      <c r="I32" s="97"/>
      <c r="L32" s="63"/>
      <c r="M32" s="63"/>
      <c r="N32" s="63"/>
      <c r="O32" s="63"/>
      <c r="P32" s="63"/>
    </row>
    <row r="33" spans="1:17" s="61" customFormat="1" ht="30" customHeight="1" thickBot="1" x14ac:dyDescent="0.3">
      <c r="A33" s="71"/>
      <c r="B33" s="95" t="s">
        <v>178</v>
      </c>
      <c r="C33" s="100"/>
      <c r="D33" s="100"/>
      <c r="E33" s="293"/>
      <c r="F33" s="294"/>
      <c r="G33" s="294"/>
      <c r="H33" s="295"/>
      <c r="I33" s="101"/>
      <c r="L33" s="63"/>
      <c r="M33" s="63"/>
      <c r="N33" s="63"/>
      <c r="O33" s="63"/>
      <c r="P33" s="63"/>
    </row>
    <row r="34" spans="1:17" ht="15.75" customHeight="1" thickBot="1" x14ac:dyDescent="0.3">
      <c r="A34" s="70"/>
      <c r="B34" s="98"/>
      <c r="C34" s="96"/>
      <c r="D34" s="96"/>
      <c r="E34" s="96"/>
      <c r="F34" s="96"/>
      <c r="G34" s="96"/>
      <c r="H34" s="96"/>
      <c r="I34" s="97"/>
      <c r="L34" s="63"/>
      <c r="M34" s="63"/>
      <c r="N34" s="63"/>
      <c r="O34" s="63"/>
      <c r="P34" s="63"/>
    </row>
    <row r="35" spans="1:17" s="61" customFormat="1" ht="55.5" customHeight="1" thickBot="1" x14ac:dyDescent="0.3">
      <c r="A35" s="71"/>
      <c r="B35" s="95" t="s">
        <v>179</v>
      </c>
      <c r="C35" s="100"/>
      <c r="D35" s="100"/>
      <c r="E35" s="293"/>
      <c r="F35" s="294"/>
      <c r="G35" s="294"/>
      <c r="H35" s="295"/>
      <c r="I35" s="101"/>
      <c r="L35" s="63"/>
      <c r="M35" s="63"/>
      <c r="N35" s="63"/>
      <c r="O35" s="63"/>
      <c r="P35" s="63"/>
    </row>
    <row r="36" spans="1:17" ht="15.75" customHeight="1" thickBot="1" x14ac:dyDescent="0.3">
      <c r="A36" s="70"/>
      <c r="B36" s="98"/>
      <c r="C36" s="96"/>
      <c r="D36" s="96"/>
      <c r="E36" s="96"/>
      <c r="F36" s="96"/>
      <c r="G36" s="96"/>
      <c r="H36" s="96"/>
      <c r="I36" s="97"/>
      <c r="L36" s="63"/>
      <c r="M36" s="63"/>
      <c r="N36" s="63"/>
      <c r="O36" s="63"/>
      <c r="P36" s="63"/>
    </row>
    <row r="37" spans="1:17" s="61" customFormat="1" ht="30" customHeight="1" thickBot="1" x14ac:dyDescent="0.3">
      <c r="A37" s="71"/>
      <c r="B37" s="95" t="s">
        <v>180</v>
      </c>
      <c r="C37" s="100"/>
      <c r="D37" s="100"/>
      <c r="E37" s="293"/>
      <c r="F37" s="294"/>
      <c r="G37" s="294"/>
      <c r="H37" s="295"/>
      <c r="I37" s="101"/>
      <c r="L37" s="63"/>
      <c r="M37" s="63"/>
      <c r="N37" s="63"/>
      <c r="O37" s="63"/>
      <c r="P37" s="63"/>
    </row>
    <row r="38" spans="1:17" ht="15.75" customHeight="1" thickBot="1" x14ac:dyDescent="0.3">
      <c r="A38" s="70"/>
      <c r="B38" s="98"/>
      <c r="C38" s="96"/>
      <c r="D38" s="96"/>
      <c r="E38" s="96"/>
      <c r="F38" s="96"/>
      <c r="G38" s="96"/>
      <c r="H38" s="96"/>
      <c r="I38" s="97"/>
      <c r="L38" s="63"/>
      <c r="M38" s="63"/>
      <c r="N38" s="63"/>
      <c r="O38" s="63"/>
      <c r="P38" s="63"/>
    </row>
    <row r="39" spans="1:17" s="61" customFormat="1" ht="30" customHeight="1" thickBot="1" x14ac:dyDescent="0.3">
      <c r="A39" s="71"/>
      <c r="B39" s="95" t="s">
        <v>181</v>
      </c>
      <c r="C39" s="100"/>
      <c r="D39" s="100"/>
      <c r="E39" s="293"/>
      <c r="F39" s="294"/>
      <c r="G39" s="294"/>
      <c r="H39" s="295"/>
      <c r="I39" s="101"/>
      <c r="L39" s="63"/>
      <c r="M39" s="63"/>
      <c r="N39" s="63"/>
      <c r="O39" s="63"/>
      <c r="P39" s="63"/>
    </row>
    <row r="40" spans="1:17" ht="15.75" thickBot="1" x14ac:dyDescent="0.3">
      <c r="A40" s="70"/>
      <c r="B40" s="98"/>
      <c r="C40" s="96"/>
      <c r="D40" s="96"/>
      <c r="E40" s="96"/>
      <c r="F40" s="96"/>
      <c r="G40" s="96"/>
      <c r="H40" s="96"/>
      <c r="I40" s="97"/>
    </row>
    <row r="41" spans="1:17" s="61" customFormat="1" ht="30" customHeight="1" thickBot="1" x14ac:dyDescent="0.3">
      <c r="A41" s="71"/>
      <c r="B41" s="95" t="s">
        <v>182</v>
      </c>
      <c r="C41" s="100"/>
      <c r="D41" s="100"/>
      <c r="E41" s="296"/>
      <c r="F41" s="297"/>
      <c r="G41" s="297"/>
      <c r="H41" s="298"/>
      <c r="I41" s="101"/>
    </row>
    <row r="42" spans="1:17" s="61" customFormat="1" ht="30" customHeight="1" thickBot="1" x14ac:dyDescent="0.3">
      <c r="A42" s="71"/>
      <c r="B42" s="95"/>
      <c r="C42" s="100"/>
      <c r="D42" s="100"/>
      <c r="E42" s="102"/>
      <c r="F42" s="102"/>
      <c r="G42" s="102"/>
      <c r="H42" s="102"/>
      <c r="I42" s="101"/>
    </row>
    <row r="43" spans="1:17" s="61" customFormat="1" ht="30" customHeight="1" thickBot="1" x14ac:dyDescent="0.3">
      <c r="A43" s="71"/>
      <c r="B43" s="95" t="s">
        <v>353</v>
      </c>
      <c r="C43" s="100"/>
      <c r="D43" s="100"/>
      <c r="E43" s="299"/>
      <c r="F43" s="300"/>
      <c r="G43" s="300"/>
      <c r="H43" s="301"/>
      <c r="I43" s="101"/>
      <c r="L43" s="288" t="s">
        <v>355</v>
      </c>
      <c r="M43" s="288"/>
      <c r="N43" s="288"/>
      <c r="O43" s="288"/>
      <c r="P43" s="288"/>
      <c r="Q43" s="288"/>
    </row>
    <row r="44" spans="1:17" s="61" customFormat="1" ht="30" customHeight="1" thickBot="1" x14ac:dyDescent="0.3">
      <c r="A44" s="71"/>
      <c r="B44" s="95"/>
      <c r="C44" s="100"/>
      <c r="D44" s="100"/>
      <c r="E44" s="102"/>
      <c r="F44" s="102"/>
      <c r="G44" s="102"/>
      <c r="H44" s="102"/>
      <c r="I44" s="101"/>
      <c r="L44" s="288"/>
      <c r="M44" s="288"/>
      <c r="N44" s="288"/>
      <c r="O44" s="288"/>
      <c r="P44" s="288"/>
      <c r="Q44" s="288"/>
    </row>
    <row r="45" spans="1:17" s="61" customFormat="1" ht="30" customHeight="1" thickBot="1" x14ac:dyDescent="0.3">
      <c r="A45" s="71"/>
      <c r="B45" s="95" t="s">
        <v>354</v>
      </c>
      <c r="C45" s="100"/>
      <c r="D45" s="100"/>
      <c r="E45" s="299"/>
      <c r="F45" s="300"/>
      <c r="G45" s="300"/>
      <c r="H45" s="301"/>
      <c r="I45" s="101"/>
      <c r="L45" s="288"/>
      <c r="M45" s="288"/>
      <c r="N45" s="288"/>
      <c r="O45" s="288"/>
      <c r="P45" s="288"/>
      <c r="Q45" s="288"/>
    </row>
    <row r="46" spans="1:17" s="61" customFormat="1" ht="30" customHeight="1" x14ac:dyDescent="0.25">
      <c r="A46" s="71"/>
      <c r="B46" s="103"/>
      <c r="C46" s="100"/>
      <c r="D46" s="100"/>
      <c r="E46" s="102"/>
      <c r="F46" s="102"/>
      <c r="G46" s="102"/>
      <c r="H46" s="102"/>
      <c r="I46" s="101"/>
      <c r="L46" s="288"/>
      <c r="M46" s="288"/>
      <c r="N46" s="288"/>
      <c r="O46" s="288"/>
      <c r="P46" s="288"/>
      <c r="Q46" s="288"/>
    </row>
    <row r="47" spans="1:17" s="61" customFormat="1" ht="30" customHeight="1" thickBot="1" x14ac:dyDescent="0.3">
      <c r="A47" s="71"/>
      <c r="B47" s="95"/>
      <c r="C47" s="100"/>
      <c r="D47" s="100"/>
      <c r="E47" s="102"/>
      <c r="F47" s="102"/>
      <c r="G47" s="102"/>
      <c r="H47" s="102"/>
      <c r="I47" s="101"/>
      <c r="L47" s="288"/>
      <c r="M47" s="288"/>
      <c r="N47" s="288"/>
      <c r="O47" s="288"/>
      <c r="P47" s="288"/>
      <c r="Q47" s="288"/>
    </row>
    <row r="48" spans="1:17" s="61" customFormat="1" ht="30" customHeight="1" thickBot="1" x14ac:dyDescent="0.3">
      <c r="A48" s="71"/>
      <c r="B48" s="95" t="s">
        <v>183</v>
      </c>
      <c r="C48" s="100"/>
      <c r="D48" s="100"/>
      <c r="E48" s="64"/>
      <c r="F48" s="285" t="s">
        <v>184</v>
      </c>
      <c r="G48" s="286"/>
      <c r="H48" s="287"/>
      <c r="I48" s="101"/>
      <c r="L48" s="288"/>
      <c r="M48" s="288"/>
      <c r="N48" s="288"/>
      <c r="O48" s="288"/>
      <c r="P48" s="288"/>
      <c r="Q48" s="288"/>
    </row>
    <row r="49" spans="1:17" s="61" customFormat="1" ht="30" customHeight="1" thickBot="1" x14ac:dyDescent="0.3">
      <c r="A49" s="71"/>
      <c r="B49" s="95" t="s">
        <v>185</v>
      </c>
      <c r="C49" s="100"/>
      <c r="D49" s="100"/>
      <c r="E49" s="64"/>
      <c r="F49" s="285" t="s">
        <v>186</v>
      </c>
      <c r="G49" s="286"/>
      <c r="H49" s="287"/>
      <c r="I49" s="101"/>
      <c r="L49" s="288"/>
      <c r="M49" s="288"/>
      <c r="N49" s="288"/>
      <c r="O49" s="288"/>
      <c r="P49" s="288"/>
      <c r="Q49" s="288"/>
    </row>
    <row r="50" spans="1:17" s="61" customFormat="1" ht="30" customHeight="1" thickBot="1" x14ac:dyDescent="0.3">
      <c r="A50" s="71"/>
      <c r="B50" s="95"/>
      <c r="C50" s="100"/>
      <c r="D50" s="100"/>
      <c r="E50" s="64"/>
      <c r="F50" s="285" t="s">
        <v>187</v>
      </c>
      <c r="G50" s="286"/>
      <c r="H50" s="287"/>
      <c r="I50" s="104"/>
      <c r="L50" s="288"/>
      <c r="M50" s="288"/>
      <c r="N50" s="288"/>
      <c r="O50" s="288"/>
      <c r="P50" s="288"/>
      <c r="Q50" s="288"/>
    </row>
    <row r="51" spans="1:17" s="61" customFormat="1" ht="30" customHeight="1" thickBot="1" x14ac:dyDescent="0.3">
      <c r="A51" s="71"/>
      <c r="B51" s="95"/>
      <c r="C51" s="100"/>
      <c r="D51" s="100"/>
      <c r="E51" s="64"/>
      <c r="F51" s="285" t="s">
        <v>188</v>
      </c>
      <c r="G51" s="286"/>
      <c r="H51" s="287"/>
      <c r="I51" s="104"/>
      <c r="L51" s="288"/>
      <c r="M51" s="288"/>
      <c r="N51" s="288"/>
      <c r="O51" s="288"/>
      <c r="P51" s="288"/>
      <c r="Q51" s="288"/>
    </row>
    <row r="52" spans="1:17" s="61" customFormat="1" ht="30" customHeight="1" thickBot="1" x14ac:dyDescent="0.3">
      <c r="A52" s="71"/>
      <c r="B52" s="95"/>
      <c r="C52" s="100"/>
      <c r="D52" s="100"/>
      <c r="E52" s="65"/>
      <c r="F52" s="285" t="s">
        <v>189</v>
      </c>
      <c r="G52" s="286"/>
      <c r="H52" s="287"/>
      <c r="I52" s="101"/>
      <c r="L52" s="288"/>
      <c r="M52" s="288"/>
      <c r="N52" s="288"/>
      <c r="O52" s="288"/>
      <c r="P52" s="288"/>
      <c r="Q52" s="288"/>
    </row>
    <row r="53" spans="1:17" s="61" customFormat="1" ht="30" customHeight="1" thickBot="1" x14ac:dyDescent="0.3">
      <c r="A53" s="71"/>
      <c r="B53" s="95"/>
      <c r="C53" s="100"/>
      <c r="D53" s="100"/>
      <c r="E53" s="65"/>
      <c r="F53" s="285" t="s">
        <v>190</v>
      </c>
      <c r="G53" s="286"/>
      <c r="H53" s="287"/>
      <c r="I53" s="101"/>
      <c r="L53" s="288"/>
      <c r="M53" s="288"/>
      <c r="N53" s="288"/>
      <c r="O53" s="288"/>
      <c r="P53" s="288"/>
      <c r="Q53" s="288"/>
    </row>
    <row r="54" spans="1:17" s="61" customFormat="1" ht="30" customHeight="1" thickBot="1" x14ac:dyDescent="0.3">
      <c r="A54" s="71"/>
      <c r="B54" s="95"/>
      <c r="C54" s="100"/>
      <c r="D54" s="100"/>
      <c r="E54" s="65"/>
      <c r="F54" s="285" t="s">
        <v>191</v>
      </c>
      <c r="G54" s="286"/>
      <c r="H54" s="287"/>
      <c r="I54" s="101"/>
      <c r="L54" s="288"/>
      <c r="M54" s="288"/>
      <c r="N54" s="288"/>
      <c r="O54" s="288"/>
      <c r="P54" s="288"/>
      <c r="Q54" s="288"/>
    </row>
    <row r="55" spans="1:17" s="61" customFormat="1" ht="30" customHeight="1" thickBot="1" x14ac:dyDescent="0.3">
      <c r="A55" s="71"/>
      <c r="B55" s="95"/>
      <c r="C55" s="100"/>
      <c r="D55" s="100"/>
      <c r="E55" s="65"/>
      <c r="F55" s="285" t="s">
        <v>192</v>
      </c>
      <c r="G55" s="286"/>
      <c r="H55" s="287"/>
      <c r="I55" s="101"/>
      <c r="L55" s="288"/>
      <c r="M55" s="288"/>
      <c r="N55" s="288"/>
      <c r="O55" s="288"/>
      <c r="P55" s="288"/>
      <c r="Q55" s="288"/>
    </row>
    <row r="56" spans="1:17" s="61" customFormat="1" ht="30" customHeight="1" thickBot="1" x14ac:dyDescent="0.3">
      <c r="A56" s="71"/>
      <c r="B56" s="95"/>
      <c r="C56" s="100"/>
      <c r="D56" s="100"/>
      <c r="E56" s="65"/>
      <c r="F56" s="285" t="s">
        <v>193</v>
      </c>
      <c r="G56" s="286"/>
      <c r="H56" s="287"/>
      <c r="I56" s="101"/>
      <c r="L56" s="288"/>
      <c r="M56" s="288"/>
      <c r="N56" s="288"/>
      <c r="O56" s="288"/>
      <c r="P56" s="288"/>
      <c r="Q56" s="288"/>
    </row>
    <row r="57" spans="1:17" s="61" customFormat="1" ht="30" customHeight="1" thickBot="1" x14ac:dyDescent="0.3">
      <c r="A57" s="71"/>
      <c r="B57" s="95"/>
      <c r="C57" s="100"/>
      <c r="D57" s="100"/>
      <c r="E57" s="65"/>
      <c r="F57" s="285" t="s">
        <v>194</v>
      </c>
      <c r="G57" s="286"/>
      <c r="H57" s="287"/>
      <c r="I57" s="101"/>
      <c r="L57" s="288"/>
      <c r="M57" s="288"/>
      <c r="N57" s="288"/>
      <c r="O57" s="288"/>
      <c r="P57" s="288"/>
      <c r="Q57" s="288"/>
    </row>
    <row r="58" spans="1:17" s="61" customFormat="1" ht="30" customHeight="1" x14ac:dyDescent="0.25">
      <c r="A58" s="71"/>
      <c r="B58" s="95"/>
      <c r="C58" s="100"/>
      <c r="D58" s="100"/>
      <c r="E58" s="302"/>
      <c r="F58" s="304" t="s">
        <v>195</v>
      </c>
      <c r="G58" s="305"/>
      <c r="H58" s="306"/>
      <c r="I58" s="101"/>
      <c r="L58" s="288"/>
      <c r="M58" s="288"/>
      <c r="N58" s="288"/>
      <c r="O58" s="288"/>
      <c r="P58" s="288"/>
      <c r="Q58" s="288"/>
    </row>
    <row r="59" spans="1:17" s="61" customFormat="1" ht="30" customHeight="1" thickBot="1" x14ac:dyDescent="0.3">
      <c r="A59" s="71"/>
      <c r="B59" s="95"/>
      <c r="C59" s="100"/>
      <c r="D59" s="100"/>
      <c r="E59" s="303"/>
      <c r="F59" s="307"/>
      <c r="G59" s="308"/>
      <c r="H59" s="309"/>
      <c r="I59" s="101"/>
      <c r="L59" s="288"/>
      <c r="M59" s="288"/>
      <c r="N59" s="288"/>
      <c r="O59" s="288"/>
      <c r="P59" s="288"/>
      <c r="Q59" s="288"/>
    </row>
    <row r="60" spans="1:17" s="61" customFormat="1" ht="30" customHeight="1" thickBot="1" x14ac:dyDescent="0.3">
      <c r="A60" s="71"/>
      <c r="B60" s="95"/>
      <c r="C60" s="100"/>
      <c r="D60" s="100"/>
      <c r="E60" s="105"/>
      <c r="F60" s="102"/>
      <c r="G60" s="102"/>
      <c r="H60" s="102"/>
      <c r="I60" s="101"/>
      <c r="L60" s="288"/>
      <c r="M60" s="288"/>
      <c r="N60" s="288"/>
      <c r="O60" s="288"/>
      <c r="P60" s="288"/>
      <c r="Q60" s="288"/>
    </row>
    <row r="61" spans="1:17" s="61" customFormat="1" ht="30" customHeight="1" thickBot="1" x14ac:dyDescent="0.3">
      <c r="A61" s="71"/>
      <c r="B61" s="95" t="s">
        <v>196</v>
      </c>
      <c r="C61" s="100"/>
      <c r="D61" s="100"/>
      <c r="E61" s="64"/>
      <c r="F61" s="285" t="s">
        <v>186</v>
      </c>
      <c r="G61" s="286"/>
      <c r="H61" s="287"/>
      <c r="I61" s="101"/>
    </row>
    <row r="62" spans="1:17" s="61" customFormat="1" ht="30" customHeight="1" thickBot="1" x14ac:dyDescent="0.3">
      <c r="A62" s="71"/>
      <c r="B62" s="95" t="s">
        <v>185</v>
      </c>
      <c r="C62" s="100"/>
      <c r="D62" s="100"/>
      <c r="E62" s="64"/>
      <c r="F62" s="285" t="s">
        <v>197</v>
      </c>
      <c r="G62" s="286"/>
      <c r="H62" s="287"/>
      <c r="I62" s="101"/>
      <c r="O62" s="59"/>
      <c r="P62" s="59"/>
    </row>
    <row r="63" spans="1:17" s="61" customFormat="1" ht="30" customHeight="1" thickBot="1" x14ac:dyDescent="0.3">
      <c r="A63" s="71"/>
      <c r="B63" s="95"/>
      <c r="C63" s="100"/>
      <c r="D63" s="100"/>
      <c r="E63" s="64"/>
      <c r="F63" s="285" t="s">
        <v>198</v>
      </c>
      <c r="G63" s="286"/>
      <c r="H63" s="287"/>
      <c r="I63" s="101"/>
      <c r="O63" s="59"/>
      <c r="P63" s="59"/>
    </row>
    <row r="64" spans="1:17" s="61" customFormat="1" ht="30" customHeight="1" x14ac:dyDescent="0.25">
      <c r="A64" s="71"/>
      <c r="B64" s="95"/>
      <c r="C64" s="100"/>
      <c r="D64" s="100"/>
      <c r="E64" s="302"/>
      <c r="F64" s="304" t="s">
        <v>199</v>
      </c>
      <c r="G64" s="305"/>
      <c r="H64" s="306"/>
      <c r="I64" s="101"/>
      <c r="O64" s="59"/>
      <c r="P64" s="59"/>
    </row>
    <row r="65" spans="1:16" s="61" customFormat="1" ht="30" customHeight="1" thickBot="1" x14ac:dyDescent="0.3">
      <c r="A65" s="71"/>
      <c r="B65" s="95"/>
      <c r="C65" s="100"/>
      <c r="D65" s="100"/>
      <c r="E65" s="303"/>
      <c r="F65" s="310"/>
      <c r="G65" s="311"/>
      <c r="H65" s="312"/>
      <c r="I65" s="101"/>
      <c r="O65" s="59"/>
      <c r="P65" s="59"/>
    </row>
    <row r="66" spans="1:16" s="61" customFormat="1" ht="30" customHeight="1" x14ac:dyDescent="0.25">
      <c r="A66" s="71"/>
      <c r="B66" s="95"/>
      <c r="C66" s="100"/>
      <c r="D66" s="100"/>
      <c r="E66" s="105"/>
      <c r="F66" s="102"/>
      <c r="G66" s="102"/>
      <c r="H66" s="102"/>
      <c r="I66" s="101"/>
      <c r="O66" s="59"/>
      <c r="P66" s="59"/>
    </row>
    <row r="67" spans="1:16" s="61" customFormat="1" ht="30" customHeight="1" x14ac:dyDescent="0.25">
      <c r="A67" s="71"/>
      <c r="B67" s="106" t="s">
        <v>200</v>
      </c>
      <c r="C67" s="100"/>
      <c r="D67" s="100"/>
      <c r="E67" s="105"/>
      <c r="F67" s="102"/>
      <c r="G67" s="102"/>
      <c r="H67" s="102"/>
      <c r="I67" s="101"/>
      <c r="L67" s="59"/>
      <c r="M67" s="59"/>
      <c r="O67" s="59"/>
      <c r="P67" s="59"/>
    </row>
    <row r="68" spans="1:16" s="61" customFormat="1" ht="30" customHeight="1" x14ac:dyDescent="0.25">
      <c r="A68" s="71"/>
      <c r="B68" s="106" t="s">
        <v>201</v>
      </c>
      <c r="C68" s="100"/>
      <c r="D68" s="100"/>
      <c r="E68" s="105"/>
      <c r="F68" s="102"/>
      <c r="G68" s="102"/>
      <c r="H68" s="102"/>
      <c r="I68" s="101"/>
      <c r="L68" s="59"/>
      <c r="M68" s="59"/>
      <c r="O68" s="59"/>
      <c r="P68" s="59"/>
    </row>
    <row r="69" spans="1:16" s="61" customFormat="1" ht="15.75" customHeight="1" thickBot="1" x14ac:dyDescent="0.3">
      <c r="A69" s="71"/>
      <c r="B69" s="95"/>
      <c r="C69" s="100"/>
      <c r="D69" s="100"/>
      <c r="E69" s="105"/>
      <c r="F69" s="102"/>
      <c r="G69" s="102"/>
      <c r="H69" s="102"/>
      <c r="I69" s="101"/>
      <c r="L69" s="59"/>
      <c r="M69" s="59"/>
      <c r="O69" s="59"/>
      <c r="P69" s="59"/>
    </row>
    <row r="70" spans="1:16" s="61" customFormat="1" ht="30" customHeight="1" thickBot="1" x14ac:dyDescent="0.3">
      <c r="A70" s="71"/>
      <c r="B70" s="313" t="s">
        <v>202</v>
      </c>
      <c r="C70" s="313"/>
      <c r="D70" s="314"/>
      <c r="E70" s="315"/>
      <c r="F70" s="316"/>
      <c r="G70" s="316"/>
      <c r="H70" s="317"/>
      <c r="I70" s="101"/>
      <c r="L70" s="59"/>
      <c r="M70" s="59"/>
      <c r="O70" s="59"/>
      <c r="P70" s="59"/>
    </row>
    <row r="71" spans="1:16" x14ac:dyDescent="0.25">
      <c r="A71" s="70"/>
      <c r="B71" s="107"/>
      <c r="C71" s="107"/>
      <c r="D71" s="107"/>
      <c r="E71" s="107"/>
      <c r="F71" s="107"/>
      <c r="G71" s="107"/>
      <c r="H71" s="107"/>
      <c r="I71" s="108"/>
    </row>
    <row r="72" spans="1:16" x14ac:dyDescent="0.25">
      <c r="I72" s="88"/>
    </row>
    <row r="73" spans="1:16" x14ac:dyDescent="0.25">
      <c r="I73" s="88"/>
    </row>
    <row r="74" spans="1:16" x14ac:dyDescent="0.25">
      <c r="I74" s="88"/>
    </row>
    <row r="75" spans="1:16" x14ac:dyDescent="0.25">
      <c r="I75" s="88"/>
    </row>
    <row r="76" spans="1:16" x14ac:dyDescent="0.25">
      <c r="I76" s="88"/>
    </row>
  </sheetData>
  <protectedRanges>
    <protectedRange sqref="E26 E29 E31 E33 E35 E37 E39 E41 E43 E45 E48:E59 E61:E65 E70" name="Range1"/>
  </protectedRanges>
  <mergeCells count="35">
    <mergeCell ref="E64:E65"/>
    <mergeCell ref="F64:H64"/>
    <mergeCell ref="F65:H65"/>
    <mergeCell ref="B70:D70"/>
    <mergeCell ref="E70:H70"/>
    <mergeCell ref="E58:E59"/>
    <mergeCell ref="F58:H58"/>
    <mergeCell ref="F59:H59"/>
    <mergeCell ref="F61:H61"/>
    <mergeCell ref="F62:H62"/>
    <mergeCell ref="F50:H50"/>
    <mergeCell ref="F51:H51"/>
    <mergeCell ref="F63:H63"/>
    <mergeCell ref="F52:H52"/>
    <mergeCell ref="F53:H53"/>
    <mergeCell ref="F54:H54"/>
    <mergeCell ref="F55:H55"/>
    <mergeCell ref="F56:H56"/>
    <mergeCell ref="F57:H57"/>
    <mergeCell ref="F49:H49"/>
    <mergeCell ref="L43:Q60"/>
    <mergeCell ref="B2:I7"/>
    <mergeCell ref="B8:I8"/>
    <mergeCell ref="B9:I9"/>
    <mergeCell ref="E26:H26"/>
    <mergeCell ref="E29:H29"/>
    <mergeCell ref="E31:H31"/>
    <mergeCell ref="E33:H33"/>
    <mergeCell ref="E35:H35"/>
    <mergeCell ref="E37:H37"/>
    <mergeCell ref="E39:H39"/>
    <mergeCell ref="E41:H41"/>
    <mergeCell ref="E43:H43"/>
    <mergeCell ref="E45:H45"/>
    <mergeCell ref="F48:H48"/>
  </mergeCells>
  <pageMargins left="0.7" right="0.7" top="0.75" bottom="0.75" header="0.3" footer="0.3"/>
  <pageSetup paperSize="9" scale="74" orientation="portrait" horizontalDpi="4294967293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P155"/>
  <sheetViews>
    <sheetView zoomScale="60" zoomScaleNormal="60" workbookViewId="0">
      <selection activeCell="J5" sqref="J5"/>
    </sheetView>
  </sheetViews>
  <sheetFormatPr defaultColWidth="11.42578125" defaultRowHeight="15" x14ac:dyDescent="0.2"/>
  <cols>
    <col min="1" max="1" width="3.7109375" style="52" customWidth="1"/>
    <col min="2" max="2" width="5.28515625" style="51" customWidth="1"/>
    <col min="3" max="3" width="27.28515625" style="52" customWidth="1"/>
    <col min="4" max="4" width="51.85546875" style="52" customWidth="1"/>
    <col min="5" max="5" width="20.5703125" style="52" customWidth="1"/>
    <col min="6" max="6" width="18.5703125" style="52" customWidth="1"/>
    <col min="7" max="7" width="16.5703125" style="52" bestFit="1" customWidth="1"/>
    <col min="8" max="8" width="18.7109375" style="50" bestFit="1" customWidth="1"/>
    <col min="9" max="9" width="18" style="51" customWidth="1"/>
    <col min="10" max="10" width="20.5703125" style="51" customWidth="1"/>
    <col min="11" max="16" width="0" style="52" hidden="1" customWidth="1"/>
    <col min="17" max="16384" width="11.42578125" style="52"/>
  </cols>
  <sheetData>
    <row r="1" spans="1:16" x14ac:dyDescent="0.2">
      <c r="A1" s="111"/>
      <c r="B1" s="112"/>
      <c r="C1" s="111"/>
      <c r="D1" s="111"/>
      <c r="E1" s="111"/>
      <c r="F1" s="111"/>
      <c r="G1" s="111"/>
      <c r="H1" s="113"/>
      <c r="I1" s="112"/>
      <c r="J1" s="112"/>
    </row>
    <row r="2" spans="1:16" s="51" customFormat="1" ht="27" customHeight="1" x14ac:dyDescent="0.25">
      <c r="A2" s="112"/>
      <c r="B2" s="344" t="s">
        <v>160</v>
      </c>
      <c r="C2" s="344"/>
      <c r="D2" s="344"/>
      <c r="E2" s="344"/>
      <c r="F2" s="344"/>
      <c r="G2" s="344"/>
      <c r="H2" s="344"/>
      <c r="I2" s="344"/>
      <c r="J2" s="344"/>
    </row>
    <row r="3" spans="1:16" s="51" customFormat="1" ht="27" customHeight="1" x14ac:dyDescent="0.25">
      <c r="A3" s="112"/>
      <c r="B3" s="344" t="s">
        <v>204</v>
      </c>
      <c r="C3" s="344"/>
      <c r="D3" s="344"/>
      <c r="E3" s="344"/>
      <c r="F3" s="344"/>
      <c r="G3" s="344"/>
      <c r="H3" s="344"/>
      <c r="I3" s="344"/>
      <c r="J3" s="344"/>
    </row>
    <row r="4" spans="1:16" s="51" customFormat="1" ht="14.25" customHeight="1" thickBot="1" x14ac:dyDescent="0.3">
      <c r="A4" s="112"/>
      <c r="B4" s="161"/>
      <c r="C4" s="161"/>
      <c r="D4" s="161"/>
      <c r="E4" s="161"/>
      <c r="F4" s="161"/>
      <c r="G4" s="161"/>
      <c r="H4" s="161"/>
      <c r="I4" s="161"/>
      <c r="J4" s="161"/>
    </row>
    <row r="5" spans="1:16" s="51" customFormat="1" ht="45" customHeight="1" thickBot="1" x14ac:dyDescent="0.3">
      <c r="A5" s="112"/>
      <c r="B5" s="348" t="s">
        <v>272</v>
      </c>
      <c r="C5" s="349"/>
      <c r="D5" s="349"/>
      <c r="E5" s="349"/>
      <c r="F5" s="349"/>
      <c r="G5" s="349"/>
      <c r="H5" s="349"/>
      <c r="I5" s="350"/>
      <c r="J5" s="115"/>
    </row>
    <row r="6" spans="1:16" s="51" customFormat="1" ht="14.25" customHeight="1" thickBot="1" x14ac:dyDescent="0.3">
      <c r="A6" s="112"/>
      <c r="B6" s="114"/>
      <c r="C6" s="114"/>
      <c r="D6" s="114"/>
      <c r="E6" s="114"/>
      <c r="F6" s="114"/>
      <c r="G6" s="114"/>
      <c r="H6" s="114"/>
      <c r="I6" s="114"/>
      <c r="J6" s="114"/>
    </row>
    <row r="7" spans="1:16" ht="57.75" customHeight="1" thickBot="1" x14ac:dyDescent="0.25">
      <c r="A7" s="111"/>
      <c r="B7" s="333" t="s">
        <v>142</v>
      </c>
      <c r="C7" s="360"/>
      <c r="D7" s="360"/>
      <c r="E7" s="360"/>
      <c r="F7" s="360"/>
      <c r="G7" s="360"/>
      <c r="H7" s="360"/>
      <c r="I7" s="360"/>
      <c r="J7" s="361"/>
    </row>
    <row r="8" spans="1:16" ht="36" customHeight="1" thickBot="1" x14ac:dyDescent="0.25">
      <c r="A8" s="111"/>
      <c r="B8" s="162" t="s">
        <v>16</v>
      </c>
      <c r="C8" s="163" t="s">
        <v>29</v>
      </c>
      <c r="D8" s="162" t="s">
        <v>30</v>
      </c>
      <c r="E8" s="164">
        <v>2017</v>
      </c>
      <c r="F8" s="164">
        <v>2018</v>
      </c>
      <c r="G8" s="163">
        <v>2019</v>
      </c>
      <c r="H8" s="164">
        <v>2020</v>
      </c>
      <c r="I8" s="165">
        <v>2021</v>
      </c>
      <c r="J8" s="162" t="s">
        <v>102</v>
      </c>
    </row>
    <row r="9" spans="1:16" ht="57.75" customHeight="1" x14ac:dyDescent="0.2">
      <c r="A9" s="111"/>
      <c r="B9" s="354">
        <v>1</v>
      </c>
      <c r="C9" s="324" t="s">
        <v>248</v>
      </c>
      <c r="D9" s="166" t="s">
        <v>311</v>
      </c>
      <c r="E9" s="174">
        <f>SUM(E10:E13)</f>
        <v>0</v>
      </c>
      <c r="F9" s="174">
        <f>SUM(F10:F13)</f>
        <v>0</v>
      </c>
      <c r="G9" s="174">
        <f>SUM(G10:G13)</f>
        <v>0</v>
      </c>
      <c r="H9" s="174">
        <f>SUM(H10:H13)</f>
        <v>0</v>
      </c>
      <c r="I9" s="174">
        <f>SUM(I10:I13)</f>
        <v>0</v>
      </c>
      <c r="J9" s="174">
        <f>SUM(E9:I9)</f>
        <v>0</v>
      </c>
    </row>
    <row r="10" spans="1:16" ht="36" customHeight="1" x14ac:dyDescent="0.2">
      <c r="A10" s="111"/>
      <c r="B10" s="355"/>
      <c r="C10" s="325"/>
      <c r="D10" s="167" t="s">
        <v>144</v>
      </c>
      <c r="E10" s="116"/>
      <c r="F10" s="116"/>
      <c r="G10" s="116"/>
      <c r="H10" s="116"/>
      <c r="I10" s="116"/>
      <c r="J10" s="176">
        <f t="shared" ref="J10:J56" si="0">SUM(E10:I10)</f>
        <v>0</v>
      </c>
    </row>
    <row r="11" spans="1:16" ht="36" customHeight="1" x14ac:dyDescent="0.2">
      <c r="A11" s="111"/>
      <c r="B11" s="355"/>
      <c r="C11" s="325"/>
      <c r="D11" s="167" t="s">
        <v>145</v>
      </c>
      <c r="E11" s="116"/>
      <c r="F11" s="116"/>
      <c r="G11" s="116"/>
      <c r="H11" s="116"/>
      <c r="I11" s="116"/>
      <c r="J11" s="176">
        <f t="shared" si="0"/>
        <v>0</v>
      </c>
    </row>
    <row r="12" spans="1:16" ht="36" customHeight="1" x14ac:dyDescent="0.2">
      <c r="A12" s="111"/>
      <c r="B12" s="355"/>
      <c r="C12" s="325"/>
      <c r="D12" s="167" t="s">
        <v>146</v>
      </c>
      <c r="E12" s="116"/>
      <c r="F12" s="116"/>
      <c r="G12" s="116"/>
      <c r="H12" s="116"/>
      <c r="I12" s="116"/>
      <c r="J12" s="176">
        <f t="shared" si="0"/>
        <v>0</v>
      </c>
    </row>
    <row r="13" spans="1:16" ht="36" customHeight="1" x14ac:dyDescent="0.2">
      <c r="A13" s="111"/>
      <c r="B13" s="355"/>
      <c r="C13" s="325"/>
      <c r="D13" s="167" t="s">
        <v>147</v>
      </c>
      <c r="E13" s="116"/>
      <c r="F13" s="116"/>
      <c r="G13" s="116"/>
      <c r="H13" s="116"/>
      <c r="I13" s="116"/>
      <c r="J13" s="176">
        <f t="shared" si="0"/>
        <v>0</v>
      </c>
    </row>
    <row r="14" spans="1:16" ht="60" customHeight="1" x14ac:dyDescent="0.2">
      <c r="A14" s="111"/>
      <c r="B14" s="355"/>
      <c r="C14" s="325"/>
      <c r="D14" s="168" t="s">
        <v>312</v>
      </c>
      <c r="E14" s="175">
        <f>SUM(E15:E18)/3</f>
        <v>0</v>
      </c>
      <c r="F14" s="175">
        <f>SUM(F15:F18)/3</f>
        <v>0</v>
      </c>
      <c r="G14" s="175">
        <f>SUM(G15:G18)/3</f>
        <v>0</v>
      </c>
      <c r="H14" s="175">
        <f>SUM(H15:H18)/3</f>
        <v>0</v>
      </c>
      <c r="I14" s="175">
        <f>SUM(I15:I18)/3</f>
        <v>0</v>
      </c>
      <c r="J14" s="175">
        <f t="shared" si="0"/>
        <v>0</v>
      </c>
      <c r="K14" s="51" t="s">
        <v>271</v>
      </c>
      <c r="L14" s="87">
        <f>SUM(E15:E18)</f>
        <v>0</v>
      </c>
      <c r="M14" s="87">
        <f>SUM(F15:F18)</f>
        <v>0</v>
      </c>
      <c r="N14" s="87">
        <f>SUM(G15:G18)</f>
        <v>0</v>
      </c>
      <c r="O14" s="87">
        <f>SUM(H15:H18)</f>
        <v>0</v>
      </c>
      <c r="P14" s="87">
        <f>SUM(I15:I18)</f>
        <v>0</v>
      </c>
    </row>
    <row r="15" spans="1:16" ht="36" customHeight="1" x14ac:dyDescent="0.2">
      <c r="A15" s="111"/>
      <c r="B15" s="355"/>
      <c r="C15" s="325"/>
      <c r="D15" s="167" t="s">
        <v>144</v>
      </c>
      <c r="E15" s="116"/>
      <c r="F15" s="116"/>
      <c r="G15" s="116"/>
      <c r="H15" s="116"/>
      <c r="I15" s="116"/>
      <c r="J15" s="176">
        <f t="shared" si="0"/>
        <v>0</v>
      </c>
    </row>
    <row r="16" spans="1:16" ht="36" customHeight="1" x14ac:dyDescent="0.2">
      <c r="A16" s="111"/>
      <c r="B16" s="355"/>
      <c r="C16" s="325"/>
      <c r="D16" s="167" t="s">
        <v>145</v>
      </c>
      <c r="E16" s="116"/>
      <c r="F16" s="116"/>
      <c r="G16" s="116"/>
      <c r="H16" s="116"/>
      <c r="I16" s="116"/>
      <c r="J16" s="176">
        <f t="shared" si="0"/>
        <v>0</v>
      </c>
    </row>
    <row r="17" spans="1:12" ht="36" customHeight="1" x14ac:dyDescent="0.2">
      <c r="A17" s="111"/>
      <c r="B17" s="355"/>
      <c r="C17" s="325"/>
      <c r="D17" s="167" t="s">
        <v>146</v>
      </c>
      <c r="E17" s="116"/>
      <c r="F17" s="116"/>
      <c r="G17" s="116"/>
      <c r="H17" s="116"/>
      <c r="I17" s="116"/>
      <c r="J17" s="176">
        <f t="shared" si="0"/>
        <v>0</v>
      </c>
    </row>
    <row r="18" spans="1:12" ht="36" customHeight="1" x14ac:dyDescent="0.2">
      <c r="A18" s="111"/>
      <c r="B18" s="355"/>
      <c r="C18" s="325"/>
      <c r="D18" s="167" t="s">
        <v>147</v>
      </c>
      <c r="E18" s="116"/>
      <c r="F18" s="116"/>
      <c r="G18" s="116"/>
      <c r="H18" s="116"/>
      <c r="I18" s="116"/>
      <c r="J18" s="176">
        <f t="shared" si="0"/>
        <v>0</v>
      </c>
    </row>
    <row r="19" spans="1:12" ht="69.75" customHeight="1" x14ac:dyDescent="0.2">
      <c r="A19" s="111"/>
      <c r="B19" s="355"/>
      <c r="C19" s="325"/>
      <c r="D19" s="169" t="s">
        <v>320</v>
      </c>
      <c r="E19" s="176">
        <f>SUM(E20:E21)</f>
        <v>0</v>
      </c>
      <c r="F19" s="176">
        <f>SUM(F20:F21)</f>
        <v>0</v>
      </c>
      <c r="G19" s="176">
        <f>SUM(G20:G21)</f>
        <v>0</v>
      </c>
      <c r="H19" s="176">
        <f>SUM(H20:H21)</f>
        <v>0</v>
      </c>
      <c r="I19" s="176">
        <f>SUM(I20:I21)</f>
        <v>0</v>
      </c>
      <c r="J19" s="176">
        <f t="shared" si="0"/>
        <v>0</v>
      </c>
    </row>
    <row r="20" spans="1:12" ht="36" customHeight="1" x14ac:dyDescent="0.2">
      <c r="A20" s="111"/>
      <c r="B20" s="355"/>
      <c r="C20" s="325"/>
      <c r="D20" s="170" t="s">
        <v>165</v>
      </c>
      <c r="E20" s="116"/>
      <c r="F20" s="116"/>
      <c r="G20" s="116"/>
      <c r="H20" s="116"/>
      <c r="I20" s="116"/>
      <c r="J20" s="176">
        <f t="shared" si="0"/>
        <v>0</v>
      </c>
    </row>
    <row r="21" spans="1:12" s="47" customFormat="1" ht="36" customHeight="1" x14ac:dyDescent="0.2">
      <c r="A21" s="117"/>
      <c r="B21" s="355"/>
      <c r="C21" s="325"/>
      <c r="D21" s="171" t="s">
        <v>166</v>
      </c>
      <c r="E21" s="116"/>
      <c r="F21" s="116"/>
      <c r="G21" s="116"/>
      <c r="H21" s="116"/>
      <c r="I21" s="116"/>
      <c r="J21" s="176">
        <f t="shared" si="0"/>
        <v>0</v>
      </c>
      <c r="K21" s="68" t="s">
        <v>262</v>
      </c>
      <c r="L21" s="68" t="s">
        <v>263</v>
      </c>
    </row>
    <row r="22" spans="1:12" s="47" customFormat="1" ht="36" customHeight="1" x14ac:dyDescent="0.2">
      <c r="A22" s="117"/>
      <c r="B22" s="355"/>
      <c r="C22" s="325"/>
      <c r="D22" s="172" t="s">
        <v>314</v>
      </c>
      <c r="E22" s="175">
        <f>E24+E25/3</f>
        <v>0</v>
      </c>
      <c r="F22" s="175">
        <f>F24+F25/3</f>
        <v>0</v>
      </c>
      <c r="G22" s="175">
        <f>G24+G25/3</f>
        <v>0</v>
      </c>
      <c r="H22" s="175">
        <f>H24+H25/3</f>
        <v>0</v>
      </c>
      <c r="I22" s="175">
        <f>I24+I25/3</f>
        <v>0</v>
      </c>
      <c r="J22" s="175">
        <f t="shared" si="0"/>
        <v>0</v>
      </c>
      <c r="K22" s="58">
        <v>200</v>
      </c>
      <c r="L22" s="76">
        <v>6</v>
      </c>
    </row>
    <row r="23" spans="1:12" s="47" customFormat="1" ht="36" customHeight="1" x14ac:dyDescent="0.2">
      <c r="A23" s="117"/>
      <c r="B23" s="355"/>
      <c r="C23" s="325"/>
      <c r="D23" s="169" t="s">
        <v>313</v>
      </c>
      <c r="E23" s="175">
        <f>E26+E27/3</f>
        <v>0</v>
      </c>
      <c r="F23" s="175">
        <f>F26+F27/3</f>
        <v>0</v>
      </c>
      <c r="G23" s="175">
        <f>G26+G27/3</f>
        <v>0</v>
      </c>
      <c r="H23" s="175">
        <f>H26+H27/3</f>
        <v>0</v>
      </c>
      <c r="I23" s="175">
        <f>I26+I27/3</f>
        <v>0</v>
      </c>
      <c r="J23" s="175">
        <f t="shared" si="0"/>
        <v>0</v>
      </c>
      <c r="K23" s="58">
        <v>100</v>
      </c>
      <c r="L23" s="76">
        <v>4</v>
      </c>
    </row>
    <row r="24" spans="1:12" s="47" customFormat="1" ht="36" customHeight="1" x14ac:dyDescent="0.2">
      <c r="A24" s="117"/>
      <c r="B24" s="355"/>
      <c r="C24" s="325"/>
      <c r="D24" s="173" t="s">
        <v>296</v>
      </c>
      <c r="E24" s="118"/>
      <c r="F24" s="118"/>
      <c r="G24" s="118"/>
      <c r="H24" s="118"/>
      <c r="I24" s="118"/>
      <c r="J24" s="176">
        <f t="shared" si="0"/>
        <v>0</v>
      </c>
    </row>
    <row r="25" spans="1:12" s="47" customFormat="1" ht="36" customHeight="1" x14ac:dyDescent="0.2">
      <c r="A25" s="117"/>
      <c r="B25" s="355"/>
      <c r="C25" s="325"/>
      <c r="D25" s="173" t="s">
        <v>297</v>
      </c>
      <c r="E25" s="118"/>
      <c r="F25" s="118"/>
      <c r="G25" s="118"/>
      <c r="H25" s="118"/>
      <c r="I25" s="118"/>
      <c r="J25" s="176">
        <f t="shared" si="0"/>
        <v>0</v>
      </c>
    </row>
    <row r="26" spans="1:12" s="47" customFormat="1" ht="36" customHeight="1" x14ac:dyDescent="0.2">
      <c r="A26" s="117"/>
      <c r="B26" s="355"/>
      <c r="C26" s="325"/>
      <c r="D26" s="173" t="s">
        <v>298</v>
      </c>
      <c r="E26" s="118"/>
      <c r="F26" s="118"/>
      <c r="G26" s="118"/>
      <c r="H26" s="118"/>
      <c r="I26" s="118"/>
      <c r="J26" s="176">
        <f t="shared" si="0"/>
        <v>0</v>
      </c>
    </row>
    <row r="27" spans="1:12" s="47" customFormat="1" ht="36" customHeight="1" x14ac:dyDescent="0.2">
      <c r="A27" s="117"/>
      <c r="B27" s="355"/>
      <c r="C27" s="325"/>
      <c r="D27" s="173" t="s">
        <v>299</v>
      </c>
      <c r="E27" s="118"/>
      <c r="F27" s="118"/>
      <c r="G27" s="118"/>
      <c r="H27" s="118"/>
      <c r="I27" s="118"/>
      <c r="J27" s="176">
        <f t="shared" si="0"/>
        <v>0</v>
      </c>
    </row>
    <row r="28" spans="1:12" s="47" customFormat="1" ht="36" customHeight="1" thickBot="1" x14ac:dyDescent="0.25">
      <c r="A28" s="117"/>
      <c r="B28" s="356"/>
      <c r="C28" s="326"/>
      <c r="D28" s="173" t="s">
        <v>245</v>
      </c>
      <c r="E28" s="118"/>
      <c r="F28" s="118"/>
      <c r="G28" s="118"/>
      <c r="H28" s="118"/>
      <c r="I28" s="118"/>
      <c r="J28" s="177">
        <f t="shared" si="0"/>
        <v>0</v>
      </c>
    </row>
    <row r="29" spans="1:12" s="47" customFormat="1" ht="36" customHeight="1" x14ac:dyDescent="0.2">
      <c r="A29" s="117"/>
      <c r="B29" s="354">
        <v>2</v>
      </c>
      <c r="C29" s="351" t="s">
        <v>273</v>
      </c>
      <c r="D29" s="178" t="s">
        <v>239</v>
      </c>
      <c r="E29" s="119"/>
      <c r="F29" s="119"/>
      <c r="G29" s="119"/>
      <c r="H29" s="119"/>
      <c r="I29" s="119"/>
      <c r="J29" s="174">
        <f>SUM(E29:I29)</f>
        <v>0</v>
      </c>
    </row>
    <row r="30" spans="1:12" s="47" customFormat="1" ht="36" customHeight="1" x14ac:dyDescent="0.2">
      <c r="A30" s="117"/>
      <c r="B30" s="355"/>
      <c r="C30" s="352"/>
      <c r="D30" s="179" t="s">
        <v>148</v>
      </c>
      <c r="E30" s="182">
        <f>E47+E50</f>
        <v>0</v>
      </c>
      <c r="F30" s="183">
        <f>F47+F50</f>
        <v>0</v>
      </c>
      <c r="G30" s="184">
        <f>G47+G50</f>
        <v>0</v>
      </c>
      <c r="H30" s="176">
        <f>H47+H50</f>
        <v>0</v>
      </c>
      <c r="I30" s="184">
        <f>I47+I50</f>
        <v>0</v>
      </c>
      <c r="J30" s="176">
        <f>SUM(E30:I30)</f>
        <v>0</v>
      </c>
    </row>
    <row r="31" spans="1:12" s="47" customFormat="1" ht="36" customHeight="1" x14ac:dyDescent="0.2">
      <c r="A31" s="117"/>
      <c r="B31" s="355"/>
      <c r="C31" s="352"/>
      <c r="D31" s="179" t="s">
        <v>149</v>
      </c>
      <c r="E31" s="182">
        <f>E35</f>
        <v>0</v>
      </c>
      <c r="F31" s="183">
        <f>F35</f>
        <v>0</v>
      </c>
      <c r="G31" s="185">
        <f>G35</f>
        <v>0</v>
      </c>
      <c r="H31" s="183">
        <f>H35</f>
        <v>0</v>
      </c>
      <c r="I31" s="185">
        <f>I35</f>
        <v>0</v>
      </c>
      <c r="J31" s="183">
        <f t="shared" si="0"/>
        <v>0</v>
      </c>
    </row>
    <row r="32" spans="1:12" s="47" customFormat="1" ht="36" customHeight="1" x14ac:dyDescent="0.2">
      <c r="A32" s="117"/>
      <c r="B32" s="355"/>
      <c r="C32" s="352"/>
      <c r="D32" s="179" t="s">
        <v>150</v>
      </c>
      <c r="E32" s="182">
        <f>E38</f>
        <v>0</v>
      </c>
      <c r="F32" s="183">
        <f>F38</f>
        <v>0</v>
      </c>
      <c r="G32" s="185">
        <f>G38</f>
        <v>0</v>
      </c>
      <c r="H32" s="183">
        <f>H38</f>
        <v>0</v>
      </c>
      <c r="I32" s="185">
        <f>I38</f>
        <v>0</v>
      </c>
      <c r="J32" s="183">
        <f t="shared" si="0"/>
        <v>0</v>
      </c>
    </row>
    <row r="33" spans="1:10" s="47" customFormat="1" ht="36" customHeight="1" x14ac:dyDescent="0.2">
      <c r="A33" s="117"/>
      <c r="B33" s="355"/>
      <c r="C33" s="352"/>
      <c r="D33" s="179" t="s">
        <v>151</v>
      </c>
      <c r="E33" s="182">
        <f>E41</f>
        <v>0</v>
      </c>
      <c r="F33" s="176">
        <f>F41</f>
        <v>0</v>
      </c>
      <c r="G33" s="185">
        <f>G41</f>
        <v>0</v>
      </c>
      <c r="H33" s="183">
        <f>H41</f>
        <v>0</v>
      </c>
      <c r="I33" s="185">
        <f>I41</f>
        <v>0</v>
      </c>
      <c r="J33" s="183">
        <f t="shared" si="0"/>
        <v>0</v>
      </c>
    </row>
    <row r="34" spans="1:10" s="47" customFormat="1" ht="36" customHeight="1" x14ac:dyDescent="0.2">
      <c r="A34" s="117"/>
      <c r="B34" s="355"/>
      <c r="C34" s="352"/>
      <c r="D34" s="179" t="s">
        <v>152</v>
      </c>
      <c r="E34" s="182">
        <f>E44</f>
        <v>0</v>
      </c>
      <c r="F34" s="183">
        <f>F44</f>
        <v>0</v>
      </c>
      <c r="G34" s="185">
        <f>G44</f>
        <v>0</v>
      </c>
      <c r="H34" s="183">
        <f>H44</f>
        <v>0</v>
      </c>
      <c r="I34" s="185">
        <f>I44</f>
        <v>0</v>
      </c>
      <c r="J34" s="183">
        <f t="shared" si="0"/>
        <v>0</v>
      </c>
    </row>
    <row r="35" spans="1:10" s="47" customFormat="1" ht="36" customHeight="1" x14ac:dyDescent="0.2">
      <c r="A35" s="117"/>
      <c r="B35" s="355"/>
      <c r="C35" s="352"/>
      <c r="D35" s="179" t="s">
        <v>153</v>
      </c>
      <c r="E35" s="182">
        <f>(E36+E37/2)</f>
        <v>0</v>
      </c>
      <c r="F35" s="182">
        <f>(F36+F37/2)</f>
        <v>0</v>
      </c>
      <c r="G35" s="182">
        <f>(G36+G37/2)</f>
        <v>0</v>
      </c>
      <c r="H35" s="182">
        <f>(H36+H37/2)</f>
        <v>0</v>
      </c>
      <c r="I35" s="182">
        <f>(I36+I37/2)</f>
        <v>0</v>
      </c>
      <c r="J35" s="176">
        <f t="shared" si="0"/>
        <v>0</v>
      </c>
    </row>
    <row r="36" spans="1:10" s="47" customFormat="1" ht="36" customHeight="1" x14ac:dyDescent="0.2">
      <c r="A36" s="117"/>
      <c r="B36" s="355"/>
      <c r="C36" s="352"/>
      <c r="D36" s="180" t="s">
        <v>167</v>
      </c>
      <c r="E36" s="120"/>
      <c r="F36" s="116"/>
      <c r="G36" s="121"/>
      <c r="H36" s="116"/>
      <c r="I36" s="121"/>
      <c r="J36" s="176">
        <f t="shared" si="0"/>
        <v>0</v>
      </c>
    </row>
    <row r="37" spans="1:10" s="47" customFormat="1" ht="36" customHeight="1" x14ac:dyDescent="0.2">
      <c r="A37" s="117"/>
      <c r="B37" s="355"/>
      <c r="C37" s="352"/>
      <c r="D37" s="180" t="s">
        <v>168</v>
      </c>
      <c r="E37" s="120"/>
      <c r="F37" s="116"/>
      <c r="G37" s="121"/>
      <c r="H37" s="116"/>
      <c r="I37" s="121"/>
      <c r="J37" s="176">
        <f t="shared" si="0"/>
        <v>0</v>
      </c>
    </row>
    <row r="38" spans="1:10" s="47" customFormat="1" ht="36" customHeight="1" x14ac:dyDescent="0.2">
      <c r="A38" s="117"/>
      <c r="B38" s="355"/>
      <c r="C38" s="352"/>
      <c r="D38" s="179" t="s">
        <v>154</v>
      </c>
      <c r="E38" s="182">
        <f>(E39+E40/2)</f>
        <v>0</v>
      </c>
      <c r="F38" s="182">
        <f>(F39+F40/2)</f>
        <v>0</v>
      </c>
      <c r="G38" s="182">
        <f>(G39+G40/2)</f>
        <v>0</v>
      </c>
      <c r="H38" s="182">
        <f>(H39+H40/2)</f>
        <v>0</v>
      </c>
      <c r="I38" s="182">
        <f>(I39+I40/2)</f>
        <v>0</v>
      </c>
      <c r="J38" s="176">
        <f t="shared" si="0"/>
        <v>0</v>
      </c>
    </row>
    <row r="39" spans="1:10" s="47" customFormat="1" ht="36" customHeight="1" x14ac:dyDescent="0.2">
      <c r="A39" s="117"/>
      <c r="B39" s="355"/>
      <c r="C39" s="352"/>
      <c r="D39" s="180" t="s">
        <v>167</v>
      </c>
      <c r="E39" s="120"/>
      <c r="F39" s="116"/>
      <c r="G39" s="121"/>
      <c r="H39" s="116"/>
      <c r="I39" s="121"/>
      <c r="J39" s="176">
        <f t="shared" si="0"/>
        <v>0</v>
      </c>
    </row>
    <row r="40" spans="1:10" s="47" customFormat="1" ht="36" customHeight="1" x14ac:dyDescent="0.2">
      <c r="A40" s="117"/>
      <c r="B40" s="355"/>
      <c r="C40" s="352"/>
      <c r="D40" s="180" t="s">
        <v>168</v>
      </c>
      <c r="E40" s="120"/>
      <c r="F40" s="116"/>
      <c r="G40" s="121"/>
      <c r="H40" s="116"/>
      <c r="I40" s="121"/>
      <c r="J40" s="176">
        <f t="shared" si="0"/>
        <v>0</v>
      </c>
    </row>
    <row r="41" spans="1:10" s="47" customFormat="1" ht="36" customHeight="1" x14ac:dyDescent="0.2">
      <c r="A41" s="117"/>
      <c r="B41" s="355"/>
      <c r="C41" s="352"/>
      <c r="D41" s="179" t="s">
        <v>155</v>
      </c>
      <c r="E41" s="182">
        <f>(E42+E43/2)</f>
        <v>0</v>
      </c>
      <c r="F41" s="182">
        <f>(F42+F43/2)</f>
        <v>0</v>
      </c>
      <c r="G41" s="182">
        <f>(G42+G43/2)</f>
        <v>0</v>
      </c>
      <c r="H41" s="182">
        <f>(H42+H43/2)</f>
        <v>0</v>
      </c>
      <c r="I41" s="182">
        <f>(I42+I43/2)</f>
        <v>0</v>
      </c>
      <c r="J41" s="176">
        <f t="shared" si="0"/>
        <v>0</v>
      </c>
    </row>
    <row r="42" spans="1:10" s="47" customFormat="1" ht="36" customHeight="1" x14ac:dyDescent="0.2">
      <c r="A42" s="117"/>
      <c r="B42" s="355"/>
      <c r="C42" s="352"/>
      <c r="D42" s="180" t="s">
        <v>167</v>
      </c>
      <c r="E42" s="120"/>
      <c r="F42" s="116"/>
      <c r="G42" s="121"/>
      <c r="H42" s="116"/>
      <c r="I42" s="121"/>
      <c r="J42" s="176">
        <f t="shared" si="0"/>
        <v>0</v>
      </c>
    </row>
    <row r="43" spans="1:10" s="47" customFormat="1" ht="36" customHeight="1" x14ac:dyDescent="0.2">
      <c r="A43" s="117"/>
      <c r="B43" s="355"/>
      <c r="C43" s="352"/>
      <c r="D43" s="180" t="s">
        <v>168</v>
      </c>
      <c r="E43" s="120"/>
      <c r="F43" s="116"/>
      <c r="G43" s="121"/>
      <c r="H43" s="116"/>
      <c r="I43" s="121"/>
      <c r="J43" s="176">
        <f t="shared" si="0"/>
        <v>0</v>
      </c>
    </row>
    <row r="44" spans="1:10" ht="36" customHeight="1" x14ac:dyDescent="0.2">
      <c r="A44" s="111"/>
      <c r="B44" s="355"/>
      <c r="C44" s="352"/>
      <c r="D44" s="179" t="s">
        <v>156</v>
      </c>
      <c r="E44" s="182">
        <f>(E45+E46/2)</f>
        <v>0</v>
      </c>
      <c r="F44" s="182">
        <f>(F45+F46/2)</f>
        <v>0</v>
      </c>
      <c r="G44" s="182">
        <f>(G45+G46/2)</f>
        <v>0</v>
      </c>
      <c r="H44" s="182">
        <f>(H45+H46/2)</f>
        <v>0</v>
      </c>
      <c r="I44" s="182">
        <f>(I45+I46/2)</f>
        <v>0</v>
      </c>
      <c r="J44" s="176">
        <f t="shared" si="0"/>
        <v>0</v>
      </c>
    </row>
    <row r="45" spans="1:10" ht="36" customHeight="1" x14ac:dyDescent="0.2">
      <c r="A45" s="111"/>
      <c r="B45" s="355"/>
      <c r="C45" s="352"/>
      <c r="D45" s="180" t="s">
        <v>167</v>
      </c>
      <c r="E45" s="120"/>
      <c r="F45" s="116"/>
      <c r="G45" s="121"/>
      <c r="H45" s="116"/>
      <c r="I45" s="121"/>
      <c r="J45" s="176">
        <f t="shared" si="0"/>
        <v>0</v>
      </c>
    </row>
    <row r="46" spans="1:10" ht="36" customHeight="1" x14ac:dyDescent="0.2">
      <c r="A46" s="111"/>
      <c r="B46" s="355"/>
      <c r="C46" s="352"/>
      <c r="D46" s="180" t="s">
        <v>168</v>
      </c>
      <c r="E46" s="120"/>
      <c r="F46" s="116"/>
      <c r="G46" s="121"/>
      <c r="H46" s="116"/>
      <c r="I46" s="121"/>
      <c r="J46" s="176">
        <f t="shared" si="0"/>
        <v>0</v>
      </c>
    </row>
    <row r="47" spans="1:10" ht="36" customHeight="1" x14ac:dyDescent="0.2">
      <c r="A47" s="111"/>
      <c r="B47" s="355"/>
      <c r="C47" s="352"/>
      <c r="D47" s="179" t="s">
        <v>157</v>
      </c>
      <c r="E47" s="182">
        <f>(E48+E49/3)</f>
        <v>0</v>
      </c>
      <c r="F47" s="182">
        <f>(F48+F49/3)</f>
        <v>0</v>
      </c>
      <c r="G47" s="182">
        <f>(G48+G49/3)</f>
        <v>0</v>
      </c>
      <c r="H47" s="182">
        <f>(H48+H49/3)</f>
        <v>0</v>
      </c>
      <c r="I47" s="182">
        <f>(I48+I49/3)</f>
        <v>0</v>
      </c>
      <c r="J47" s="176">
        <f t="shared" si="0"/>
        <v>0</v>
      </c>
    </row>
    <row r="48" spans="1:10" ht="36" customHeight="1" x14ac:dyDescent="0.2">
      <c r="A48" s="111"/>
      <c r="B48" s="355"/>
      <c r="C48" s="352"/>
      <c r="D48" s="180" t="s">
        <v>167</v>
      </c>
      <c r="E48" s="120"/>
      <c r="F48" s="116"/>
      <c r="G48" s="121"/>
      <c r="H48" s="116"/>
      <c r="I48" s="121"/>
      <c r="J48" s="176">
        <f t="shared" si="0"/>
        <v>0</v>
      </c>
    </row>
    <row r="49" spans="1:10" ht="36" customHeight="1" x14ac:dyDescent="0.2">
      <c r="A49" s="111"/>
      <c r="B49" s="355"/>
      <c r="C49" s="352"/>
      <c r="D49" s="180" t="s">
        <v>168</v>
      </c>
      <c r="E49" s="120"/>
      <c r="F49" s="116"/>
      <c r="G49" s="121"/>
      <c r="H49" s="116"/>
      <c r="I49" s="121"/>
      <c r="J49" s="176">
        <f t="shared" si="0"/>
        <v>0</v>
      </c>
    </row>
    <row r="50" spans="1:10" ht="36" customHeight="1" x14ac:dyDescent="0.2">
      <c r="A50" s="111"/>
      <c r="B50" s="355"/>
      <c r="C50" s="352"/>
      <c r="D50" s="179" t="s">
        <v>158</v>
      </c>
      <c r="E50" s="182">
        <f>(E51+E52/3)</f>
        <v>0</v>
      </c>
      <c r="F50" s="182">
        <f>(F51+F52/3)</f>
        <v>0</v>
      </c>
      <c r="G50" s="182">
        <f>(G51+G52/3)</f>
        <v>0</v>
      </c>
      <c r="H50" s="182">
        <f>(H51+H52/3)</f>
        <v>0</v>
      </c>
      <c r="I50" s="182">
        <f>(I51+I52/3)</f>
        <v>0</v>
      </c>
      <c r="J50" s="176">
        <f t="shared" si="0"/>
        <v>0</v>
      </c>
    </row>
    <row r="51" spans="1:10" ht="36" customHeight="1" x14ac:dyDescent="0.2">
      <c r="A51" s="111"/>
      <c r="B51" s="355"/>
      <c r="C51" s="352"/>
      <c r="D51" s="180" t="s">
        <v>167</v>
      </c>
      <c r="E51" s="120"/>
      <c r="F51" s="116"/>
      <c r="G51" s="121"/>
      <c r="H51" s="116"/>
      <c r="I51" s="121"/>
      <c r="J51" s="176">
        <f t="shared" si="0"/>
        <v>0</v>
      </c>
    </row>
    <row r="52" spans="1:10" ht="36" customHeight="1" x14ac:dyDescent="0.2">
      <c r="A52" s="111"/>
      <c r="B52" s="355"/>
      <c r="C52" s="352"/>
      <c r="D52" s="180" t="s">
        <v>168</v>
      </c>
      <c r="E52" s="120"/>
      <c r="F52" s="116"/>
      <c r="G52" s="121"/>
      <c r="H52" s="116"/>
      <c r="I52" s="121"/>
      <c r="J52" s="176">
        <f t="shared" si="0"/>
        <v>0</v>
      </c>
    </row>
    <row r="53" spans="1:10" ht="36" customHeight="1" x14ac:dyDescent="0.2">
      <c r="A53" s="111"/>
      <c r="B53" s="355"/>
      <c r="C53" s="352"/>
      <c r="D53" s="180" t="s">
        <v>159</v>
      </c>
      <c r="E53" s="120"/>
      <c r="F53" s="116"/>
      <c r="G53" s="121"/>
      <c r="H53" s="116"/>
      <c r="I53" s="121"/>
      <c r="J53" s="176">
        <f t="shared" si="0"/>
        <v>0</v>
      </c>
    </row>
    <row r="54" spans="1:10" ht="36" customHeight="1" thickBot="1" x14ac:dyDescent="0.25">
      <c r="A54" s="111"/>
      <c r="B54" s="356"/>
      <c r="C54" s="353"/>
      <c r="D54" s="181" t="s">
        <v>300</v>
      </c>
      <c r="E54" s="122"/>
      <c r="F54" s="123"/>
      <c r="G54" s="124"/>
      <c r="H54" s="123"/>
      <c r="I54" s="124"/>
      <c r="J54" s="186">
        <f t="shared" si="0"/>
        <v>0</v>
      </c>
    </row>
    <row r="55" spans="1:10" ht="43.5" customHeight="1" x14ac:dyDescent="0.2">
      <c r="A55" s="111"/>
      <c r="B55" s="358">
        <v>3</v>
      </c>
      <c r="C55" s="351" t="s">
        <v>321</v>
      </c>
      <c r="D55" s="178" t="s">
        <v>301</v>
      </c>
      <c r="E55" s="125"/>
      <c r="F55" s="125"/>
      <c r="G55" s="125"/>
      <c r="H55" s="125"/>
      <c r="I55" s="125"/>
      <c r="J55" s="187">
        <f t="shared" si="0"/>
        <v>0</v>
      </c>
    </row>
    <row r="56" spans="1:10" ht="43.5" customHeight="1" thickBot="1" x14ac:dyDescent="0.25">
      <c r="A56" s="111"/>
      <c r="B56" s="359"/>
      <c r="C56" s="357"/>
      <c r="D56" s="181" t="s">
        <v>302</v>
      </c>
      <c r="E56" s="123"/>
      <c r="F56" s="123"/>
      <c r="G56" s="124"/>
      <c r="H56" s="123"/>
      <c r="I56" s="124"/>
      <c r="J56" s="186">
        <f t="shared" si="0"/>
        <v>0</v>
      </c>
    </row>
    <row r="57" spans="1:10" ht="36" customHeight="1" thickBot="1" x14ac:dyDescent="0.25">
      <c r="A57" s="111"/>
      <c r="B57" s="126"/>
      <c r="C57" s="126"/>
      <c r="D57" s="126"/>
      <c r="E57" s="127"/>
      <c r="F57" s="127"/>
      <c r="G57" s="126"/>
      <c r="H57" s="127"/>
      <c r="I57" s="127"/>
      <c r="J57" s="126"/>
    </row>
    <row r="58" spans="1:10" ht="57.75" customHeight="1" thickBot="1" x14ac:dyDescent="0.25">
      <c r="A58" s="111"/>
      <c r="B58" s="345" t="s">
        <v>208</v>
      </c>
      <c r="C58" s="346"/>
      <c r="D58" s="346"/>
      <c r="E58" s="346"/>
      <c r="F58" s="346"/>
      <c r="G58" s="346"/>
      <c r="H58" s="346"/>
      <c r="I58" s="346"/>
      <c r="J58" s="347"/>
    </row>
    <row r="59" spans="1:10" s="50" customFormat="1" ht="36" customHeight="1" thickBot="1" x14ac:dyDescent="0.3">
      <c r="A59" s="113"/>
      <c r="B59" s="164" t="s">
        <v>28</v>
      </c>
      <c r="C59" s="165" t="s">
        <v>29</v>
      </c>
      <c r="D59" s="164" t="s">
        <v>30</v>
      </c>
      <c r="E59" s="164">
        <v>2017</v>
      </c>
      <c r="F59" s="164">
        <v>2018</v>
      </c>
      <c r="G59" s="163">
        <v>2019</v>
      </c>
      <c r="H59" s="164">
        <v>2020</v>
      </c>
      <c r="I59" s="165">
        <v>2021</v>
      </c>
      <c r="J59" s="162" t="s">
        <v>102</v>
      </c>
    </row>
    <row r="60" spans="1:10" ht="68.25" customHeight="1" x14ac:dyDescent="0.2">
      <c r="A60" s="128"/>
      <c r="B60" s="342">
        <v>1</v>
      </c>
      <c r="C60" s="324" t="s">
        <v>32</v>
      </c>
      <c r="D60" s="166" t="s">
        <v>322</v>
      </c>
      <c r="E60" s="196">
        <f>SUM(E61:E64)</f>
        <v>0</v>
      </c>
      <c r="F60" s="196">
        <f>SUM(F61:F64)</f>
        <v>0</v>
      </c>
      <c r="G60" s="197">
        <f>SUM(G61:G64)</f>
        <v>0</v>
      </c>
      <c r="H60" s="196">
        <f>SUM(H61:H64)</f>
        <v>0</v>
      </c>
      <c r="I60" s="197">
        <f>SUM(I61:I64)</f>
        <v>0</v>
      </c>
      <c r="J60" s="196">
        <f>SUM(E60:I60)</f>
        <v>0</v>
      </c>
    </row>
    <row r="61" spans="1:10" ht="24" customHeight="1" x14ac:dyDescent="0.2">
      <c r="A61" s="128"/>
      <c r="B61" s="343"/>
      <c r="C61" s="325"/>
      <c r="D61" s="167" t="s">
        <v>274</v>
      </c>
      <c r="E61" s="129"/>
      <c r="F61" s="129"/>
      <c r="G61" s="129"/>
      <c r="H61" s="129"/>
      <c r="I61" s="129"/>
      <c r="J61" s="198">
        <f t="shared" ref="J61:J72" si="1">SUM(E61:I61)</f>
        <v>0</v>
      </c>
    </row>
    <row r="62" spans="1:10" ht="24" customHeight="1" x14ac:dyDescent="0.2">
      <c r="A62" s="128"/>
      <c r="B62" s="343"/>
      <c r="C62" s="325"/>
      <c r="D62" s="167" t="s">
        <v>240</v>
      </c>
      <c r="E62" s="129"/>
      <c r="F62" s="129"/>
      <c r="G62" s="129"/>
      <c r="H62" s="129"/>
      <c r="I62" s="129"/>
      <c r="J62" s="198">
        <f t="shared" si="1"/>
        <v>0</v>
      </c>
    </row>
    <row r="63" spans="1:10" ht="24" customHeight="1" x14ac:dyDescent="0.2">
      <c r="A63" s="128"/>
      <c r="B63" s="343"/>
      <c r="C63" s="325"/>
      <c r="D63" s="167" t="s">
        <v>241</v>
      </c>
      <c r="E63" s="129"/>
      <c r="F63" s="129"/>
      <c r="G63" s="129"/>
      <c r="H63" s="129"/>
      <c r="I63" s="129"/>
      <c r="J63" s="198">
        <f t="shared" si="1"/>
        <v>0</v>
      </c>
    </row>
    <row r="64" spans="1:10" ht="24" customHeight="1" x14ac:dyDescent="0.2">
      <c r="A64" s="128"/>
      <c r="B64" s="343"/>
      <c r="C64" s="325"/>
      <c r="D64" s="167" t="s">
        <v>275</v>
      </c>
      <c r="E64" s="129"/>
      <c r="F64" s="129"/>
      <c r="G64" s="129"/>
      <c r="H64" s="129"/>
      <c r="I64" s="129"/>
      <c r="J64" s="199">
        <f t="shared" si="1"/>
        <v>0</v>
      </c>
    </row>
    <row r="65" spans="1:10" ht="69" customHeight="1" thickBot="1" x14ac:dyDescent="0.25">
      <c r="A65" s="128"/>
      <c r="B65" s="343"/>
      <c r="C65" s="325"/>
      <c r="D65" s="188" t="s">
        <v>315</v>
      </c>
      <c r="E65" s="130"/>
      <c r="F65" s="130"/>
      <c r="G65" s="130"/>
      <c r="H65" s="130"/>
      <c r="I65" s="130"/>
      <c r="J65" s="200">
        <f t="shared" si="1"/>
        <v>0</v>
      </c>
    </row>
    <row r="66" spans="1:10" ht="33" customHeight="1" x14ac:dyDescent="0.2">
      <c r="A66" s="128"/>
      <c r="B66" s="364">
        <v>2</v>
      </c>
      <c r="C66" s="366" t="s">
        <v>81</v>
      </c>
      <c r="D66" s="189" t="s">
        <v>249</v>
      </c>
      <c r="E66" s="131"/>
      <c r="F66" s="131"/>
      <c r="G66" s="131"/>
      <c r="H66" s="131"/>
      <c r="I66" s="131"/>
      <c r="J66" s="201">
        <f t="shared" si="1"/>
        <v>0</v>
      </c>
    </row>
    <row r="67" spans="1:10" ht="73.5" customHeight="1" thickBot="1" x14ac:dyDescent="0.25">
      <c r="A67" s="128"/>
      <c r="B67" s="365"/>
      <c r="C67" s="367"/>
      <c r="D67" s="190" t="s">
        <v>323</v>
      </c>
      <c r="E67" s="132"/>
      <c r="F67" s="132"/>
      <c r="G67" s="132"/>
      <c r="H67" s="132"/>
      <c r="I67" s="132"/>
      <c r="J67" s="199">
        <f t="shared" si="1"/>
        <v>0</v>
      </c>
    </row>
    <row r="68" spans="1:10" ht="41.25" customHeight="1" x14ac:dyDescent="0.2">
      <c r="A68" s="128"/>
      <c r="B68" s="364">
        <v>3</v>
      </c>
      <c r="C68" s="369" t="s">
        <v>276</v>
      </c>
      <c r="D68" s="191" t="s">
        <v>92</v>
      </c>
      <c r="E68" s="196">
        <f>SUM(E69:E70)</f>
        <v>0</v>
      </c>
      <c r="F68" s="196">
        <f>SUM(F69:F70)</f>
        <v>0</v>
      </c>
      <c r="G68" s="197">
        <f>SUM(G69:G70)</f>
        <v>0</v>
      </c>
      <c r="H68" s="196">
        <f>SUM(H69:H70)</f>
        <v>0</v>
      </c>
      <c r="I68" s="197">
        <f>SUM(I69:I70)</f>
        <v>0</v>
      </c>
      <c r="J68" s="196">
        <f>SUM(E68:I68)</f>
        <v>0</v>
      </c>
    </row>
    <row r="69" spans="1:10" s="47" customFormat="1" ht="24" customHeight="1" x14ac:dyDescent="0.2">
      <c r="A69" s="117"/>
      <c r="B69" s="368"/>
      <c r="C69" s="370"/>
      <c r="D69" s="192" t="s">
        <v>238</v>
      </c>
      <c r="E69" s="129"/>
      <c r="F69" s="129"/>
      <c r="G69" s="129"/>
      <c r="H69" s="129"/>
      <c r="I69" s="129"/>
      <c r="J69" s="198">
        <f t="shared" si="1"/>
        <v>0</v>
      </c>
    </row>
    <row r="70" spans="1:10" s="47" customFormat="1" ht="24" customHeight="1" thickBot="1" x14ac:dyDescent="0.25">
      <c r="A70" s="117"/>
      <c r="B70" s="365"/>
      <c r="C70" s="371"/>
      <c r="D70" s="193" t="s">
        <v>226</v>
      </c>
      <c r="E70" s="133"/>
      <c r="F70" s="133"/>
      <c r="G70" s="133"/>
      <c r="H70" s="133"/>
      <c r="I70" s="133"/>
      <c r="J70" s="200">
        <f t="shared" si="1"/>
        <v>0</v>
      </c>
    </row>
    <row r="71" spans="1:10" s="47" customFormat="1" ht="80.25" customHeight="1" x14ac:dyDescent="0.2">
      <c r="A71" s="117"/>
      <c r="B71" s="327">
        <v>4</v>
      </c>
      <c r="C71" s="372" t="s">
        <v>85</v>
      </c>
      <c r="D71" s="194" t="s">
        <v>324</v>
      </c>
      <c r="E71" s="134"/>
      <c r="F71" s="134"/>
      <c r="G71" s="134"/>
      <c r="H71" s="134"/>
      <c r="I71" s="134"/>
      <c r="J71" s="196">
        <f t="shared" si="1"/>
        <v>0</v>
      </c>
    </row>
    <row r="72" spans="1:10" s="47" customFormat="1" ht="70.5" customHeight="1" thickBot="1" x14ac:dyDescent="0.25">
      <c r="A72" s="117"/>
      <c r="B72" s="330"/>
      <c r="C72" s="373"/>
      <c r="D72" s="195" t="s">
        <v>325</v>
      </c>
      <c r="E72" s="133"/>
      <c r="F72" s="133"/>
      <c r="G72" s="133"/>
      <c r="H72" s="133"/>
      <c r="I72" s="133"/>
      <c r="J72" s="200">
        <f t="shared" si="1"/>
        <v>0</v>
      </c>
    </row>
    <row r="73" spans="1:10" x14ac:dyDescent="0.2">
      <c r="A73" s="111"/>
      <c r="B73" s="112"/>
      <c r="C73" s="111"/>
      <c r="D73" s="111"/>
      <c r="E73" s="111"/>
      <c r="F73" s="111"/>
      <c r="G73" s="111"/>
      <c r="H73" s="113"/>
      <c r="I73" s="112"/>
      <c r="J73" s="112"/>
    </row>
    <row r="74" spans="1:10" x14ac:dyDescent="0.2">
      <c r="A74" s="111"/>
      <c r="B74" s="112"/>
      <c r="C74" s="111"/>
      <c r="D74" s="111"/>
      <c r="E74" s="111"/>
      <c r="F74" s="111"/>
      <c r="G74" s="111"/>
      <c r="H74" s="113"/>
      <c r="I74" s="112"/>
      <c r="J74" s="112"/>
    </row>
    <row r="75" spans="1:10" s="51" customFormat="1" ht="16.5" thickBot="1" x14ac:dyDescent="0.3">
      <c r="A75" s="112"/>
      <c r="B75" s="114"/>
      <c r="C75" s="135"/>
      <c r="D75" s="135"/>
      <c r="E75" s="135"/>
      <c r="F75" s="135"/>
      <c r="G75" s="135"/>
      <c r="H75" s="135"/>
      <c r="I75" s="135"/>
      <c r="J75" s="135"/>
    </row>
    <row r="76" spans="1:10" s="51" customFormat="1" ht="57.75" customHeight="1" thickBot="1" x14ac:dyDescent="0.3">
      <c r="A76" s="112"/>
      <c r="B76" s="333" t="s">
        <v>209</v>
      </c>
      <c r="C76" s="334"/>
      <c r="D76" s="334"/>
      <c r="E76" s="334"/>
      <c r="F76" s="334"/>
      <c r="G76" s="334"/>
      <c r="H76" s="334"/>
      <c r="I76" s="334"/>
      <c r="J76" s="335"/>
    </row>
    <row r="77" spans="1:10" s="50" customFormat="1" ht="36" customHeight="1" thickBot="1" x14ac:dyDescent="0.3">
      <c r="A77" s="113"/>
      <c r="B77" s="164" t="s">
        <v>28</v>
      </c>
      <c r="C77" s="202" t="s">
        <v>29</v>
      </c>
      <c r="D77" s="165" t="s">
        <v>30</v>
      </c>
      <c r="E77" s="164">
        <v>2017</v>
      </c>
      <c r="F77" s="164">
        <v>2018</v>
      </c>
      <c r="G77" s="163">
        <v>2019</v>
      </c>
      <c r="H77" s="164">
        <v>2020</v>
      </c>
      <c r="I77" s="165">
        <v>2021</v>
      </c>
      <c r="J77" s="162" t="s">
        <v>102</v>
      </c>
    </row>
    <row r="78" spans="1:10" s="48" customFormat="1" ht="36.75" customHeight="1" x14ac:dyDescent="0.25">
      <c r="A78" s="136"/>
      <c r="B78" s="327">
        <v>1</v>
      </c>
      <c r="C78" s="339" t="s">
        <v>2</v>
      </c>
      <c r="D78" s="203" t="s">
        <v>90</v>
      </c>
      <c r="E78" s="196">
        <f>SUM(E79:E80)</f>
        <v>0</v>
      </c>
      <c r="F78" s="196">
        <f>SUM(F79:F80)</f>
        <v>0</v>
      </c>
      <c r="G78" s="196">
        <f>SUM(G79:G80)</f>
        <v>0</v>
      </c>
      <c r="H78" s="196">
        <f>SUM(H79:H80)</f>
        <v>0</v>
      </c>
      <c r="I78" s="197">
        <f>SUM(I79:I80)</f>
        <v>0</v>
      </c>
      <c r="J78" s="212">
        <f>SUM(E78:I78)</f>
        <v>0</v>
      </c>
    </row>
    <row r="79" spans="1:10" s="47" customFormat="1" ht="36.75" customHeight="1" x14ac:dyDescent="0.2">
      <c r="A79" s="117"/>
      <c r="B79" s="328"/>
      <c r="C79" s="340"/>
      <c r="D79" s="204" t="s">
        <v>161</v>
      </c>
      <c r="E79" s="129"/>
      <c r="F79" s="129"/>
      <c r="G79" s="129"/>
      <c r="H79" s="129"/>
      <c r="I79" s="129"/>
      <c r="J79" s="213">
        <f>SUM(E79:I79)</f>
        <v>0</v>
      </c>
    </row>
    <row r="80" spans="1:10" s="47" customFormat="1" ht="36.75" customHeight="1" x14ac:dyDescent="0.2">
      <c r="A80" s="117"/>
      <c r="B80" s="328"/>
      <c r="C80" s="340"/>
      <c r="D80" s="204" t="s">
        <v>284</v>
      </c>
      <c r="E80" s="129"/>
      <c r="F80" s="129"/>
      <c r="G80" s="129"/>
      <c r="H80" s="129"/>
      <c r="I80" s="129"/>
      <c r="J80" s="213">
        <f t="shared" ref="J80:J92" si="2">SUM(E80:I80)</f>
        <v>0</v>
      </c>
    </row>
    <row r="81" spans="1:11" s="47" customFormat="1" ht="36.75" customHeight="1" x14ac:dyDescent="0.2">
      <c r="A81" s="117"/>
      <c r="B81" s="328"/>
      <c r="C81" s="340"/>
      <c r="D81" s="205" t="s">
        <v>326</v>
      </c>
      <c r="E81" s="198">
        <f>SUM(E82:E83)</f>
        <v>0</v>
      </c>
      <c r="F81" s="198">
        <f>SUM(F82:F83)</f>
        <v>0</v>
      </c>
      <c r="G81" s="198">
        <f>SUM(G82:G83)</f>
        <v>0</v>
      </c>
      <c r="H81" s="198">
        <f>SUM(H82:H83)</f>
        <v>0</v>
      </c>
      <c r="I81" s="211">
        <f>SUM(I82:I83)</f>
        <v>0</v>
      </c>
      <c r="J81" s="213">
        <f t="shared" si="2"/>
        <v>0</v>
      </c>
    </row>
    <row r="82" spans="1:11" s="47" customFormat="1" ht="36.75" customHeight="1" x14ac:dyDescent="0.2">
      <c r="A82" s="117"/>
      <c r="B82" s="328"/>
      <c r="C82" s="340"/>
      <c r="D82" s="206" t="s">
        <v>277</v>
      </c>
      <c r="E82" s="129"/>
      <c r="F82" s="129"/>
      <c r="G82" s="129"/>
      <c r="H82" s="129"/>
      <c r="I82" s="129"/>
      <c r="J82" s="213">
        <f t="shared" si="2"/>
        <v>0</v>
      </c>
    </row>
    <row r="83" spans="1:11" s="47" customFormat="1" ht="36.75" customHeight="1" x14ac:dyDescent="0.2">
      <c r="A83" s="117"/>
      <c r="B83" s="328"/>
      <c r="C83" s="340"/>
      <c r="D83" s="206" t="s">
        <v>86</v>
      </c>
      <c r="E83" s="129"/>
      <c r="F83" s="129"/>
      <c r="G83" s="129"/>
      <c r="H83" s="129"/>
      <c r="I83" s="129"/>
      <c r="J83" s="213">
        <f t="shared" si="2"/>
        <v>0</v>
      </c>
    </row>
    <row r="84" spans="1:11" s="47" customFormat="1" ht="36.75" customHeight="1" x14ac:dyDescent="0.2">
      <c r="A84" s="117"/>
      <c r="B84" s="328"/>
      <c r="C84" s="340"/>
      <c r="D84" s="206" t="s">
        <v>303</v>
      </c>
      <c r="E84" s="129"/>
      <c r="F84" s="129"/>
      <c r="G84" s="129"/>
      <c r="H84" s="129"/>
      <c r="I84" s="129"/>
      <c r="J84" s="213">
        <f t="shared" si="2"/>
        <v>0</v>
      </c>
    </row>
    <row r="85" spans="1:11" s="47" customFormat="1" ht="36.75" customHeight="1" x14ac:dyDescent="0.2">
      <c r="A85" s="117"/>
      <c r="B85" s="328"/>
      <c r="C85" s="340"/>
      <c r="D85" s="205" t="s">
        <v>316</v>
      </c>
      <c r="E85" s="198">
        <f>SUM(E86:E87)</f>
        <v>0</v>
      </c>
      <c r="F85" s="198">
        <f>SUM(F86:F87)</f>
        <v>0</v>
      </c>
      <c r="G85" s="198">
        <f>SUM(G86:G87)</f>
        <v>0</v>
      </c>
      <c r="H85" s="198">
        <f>SUM(H86:H87)</f>
        <v>0</v>
      </c>
      <c r="I85" s="211">
        <f>SUM(I86:I87)</f>
        <v>0</v>
      </c>
      <c r="J85" s="213">
        <f t="shared" si="2"/>
        <v>0</v>
      </c>
      <c r="K85" s="49"/>
    </row>
    <row r="86" spans="1:11" s="47" customFormat="1" ht="36.75" customHeight="1" x14ac:dyDescent="0.2">
      <c r="A86" s="117"/>
      <c r="B86" s="328"/>
      <c r="C86" s="340"/>
      <c r="D86" s="206" t="s">
        <v>242</v>
      </c>
      <c r="E86" s="129"/>
      <c r="F86" s="129"/>
      <c r="G86" s="129"/>
      <c r="H86" s="129"/>
      <c r="I86" s="129"/>
      <c r="J86" s="213">
        <f t="shared" si="2"/>
        <v>0</v>
      </c>
    </row>
    <row r="87" spans="1:11" s="47" customFormat="1" ht="36.75" customHeight="1" x14ac:dyDescent="0.2">
      <c r="A87" s="117"/>
      <c r="B87" s="328"/>
      <c r="C87" s="340"/>
      <c r="D87" s="206" t="s">
        <v>304</v>
      </c>
      <c r="E87" s="129"/>
      <c r="F87" s="129"/>
      <c r="G87" s="129"/>
      <c r="H87" s="129"/>
      <c r="I87" s="129"/>
      <c r="J87" s="213">
        <f t="shared" si="2"/>
        <v>0</v>
      </c>
    </row>
    <row r="88" spans="1:11" s="47" customFormat="1" ht="36.75" customHeight="1" x14ac:dyDescent="0.2">
      <c r="A88" s="117"/>
      <c r="B88" s="329"/>
      <c r="C88" s="374"/>
      <c r="D88" s="207" t="s">
        <v>327</v>
      </c>
      <c r="E88" s="132"/>
      <c r="F88" s="132"/>
      <c r="G88" s="132"/>
      <c r="H88" s="132"/>
      <c r="I88" s="132"/>
      <c r="J88" s="214">
        <f t="shared" si="2"/>
        <v>0</v>
      </c>
    </row>
    <row r="89" spans="1:11" s="47" customFormat="1" ht="85.5" customHeight="1" thickBot="1" x14ac:dyDescent="0.25">
      <c r="A89" s="117"/>
      <c r="B89" s="330"/>
      <c r="C89" s="374"/>
      <c r="D89" s="207" t="s">
        <v>328</v>
      </c>
      <c r="E89" s="129"/>
      <c r="F89" s="129"/>
      <c r="G89" s="129"/>
      <c r="H89" s="129"/>
      <c r="I89" s="129"/>
      <c r="J89" s="214">
        <f t="shared" si="2"/>
        <v>0</v>
      </c>
    </row>
    <row r="90" spans="1:11" s="47" customFormat="1" ht="64.5" customHeight="1" x14ac:dyDescent="0.2">
      <c r="A90" s="117"/>
      <c r="B90" s="327">
        <v>2</v>
      </c>
      <c r="C90" s="321" t="s">
        <v>5</v>
      </c>
      <c r="D90" s="208" t="s">
        <v>346</v>
      </c>
      <c r="E90" s="137"/>
      <c r="F90" s="137"/>
      <c r="G90" s="137"/>
      <c r="H90" s="137"/>
      <c r="I90" s="137"/>
      <c r="J90" s="215">
        <f>SUM(E90:I90)</f>
        <v>0</v>
      </c>
    </row>
    <row r="91" spans="1:11" s="47" customFormat="1" ht="51.75" customHeight="1" x14ac:dyDescent="0.2">
      <c r="A91" s="117"/>
      <c r="B91" s="328"/>
      <c r="C91" s="322"/>
      <c r="D91" s="209" t="s">
        <v>347</v>
      </c>
      <c r="E91" s="138"/>
      <c r="F91" s="138"/>
      <c r="G91" s="139"/>
      <c r="H91" s="140"/>
      <c r="I91" s="140"/>
      <c r="J91" s="216">
        <f t="shared" si="2"/>
        <v>0</v>
      </c>
    </row>
    <row r="92" spans="1:11" s="47" customFormat="1" ht="55.5" customHeight="1" x14ac:dyDescent="0.2">
      <c r="A92" s="117"/>
      <c r="B92" s="328"/>
      <c r="C92" s="322"/>
      <c r="D92" s="209" t="s">
        <v>348</v>
      </c>
      <c r="E92" s="138"/>
      <c r="F92" s="138"/>
      <c r="G92" s="138"/>
      <c r="H92" s="138"/>
      <c r="I92" s="138"/>
      <c r="J92" s="216">
        <f t="shared" si="2"/>
        <v>0</v>
      </c>
    </row>
    <row r="93" spans="1:11" s="47" customFormat="1" ht="39.75" customHeight="1" thickBot="1" x14ac:dyDescent="0.25">
      <c r="A93" s="117"/>
      <c r="B93" s="330"/>
      <c r="C93" s="323"/>
      <c r="D93" s="210" t="s">
        <v>169</v>
      </c>
      <c r="E93" s="141"/>
      <c r="F93" s="142"/>
      <c r="G93" s="141"/>
      <c r="H93" s="142"/>
      <c r="I93" s="142"/>
      <c r="J93" s="217">
        <f>SUM(E93:I93)</f>
        <v>0</v>
      </c>
    </row>
    <row r="94" spans="1:11" x14ac:dyDescent="0.2">
      <c r="A94" s="111"/>
      <c r="B94" s="112"/>
      <c r="C94" s="111"/>
      <c r="D94" s="111"/>
      <c r="E94" s="111"/>
      <c r="F94" s="111"/>
      <c r="G94" s="111"/>
      <c r="H94" s="112"/>
      <c r="I94" s="143"/>
      <c r="J94" s="111"/>
    </row>
    <row r="95" spans="1:11" x14ac:dyDescent="0.2">
      <c r="A95" s="111"/>
      <c r="B95" s="112"/>
      <c r="C95" s="111"/>
      <c r="D95" s="111"/>
      <c r="E95" s="111"/>
      <c r="F95" s="111"/>
      <c r="G95" s="111"/>
      <c r="H95" s="113"/>
      <c r="I95" s="112"/>
      <c r="J95" s="112"/>
    </row>
    <row r="96" spans="1:11" s="51" customFormat="1" ht="16.5" thickBot="1" x14ac:dyDescent="0.3">
      <c r="A96" s="112"/>
      <c r="B96" s="135"/>
      <c r="C96" s="135"/>
      <c r="D96" s="135"/>
      <c r="E96" s="135"/>
      <c r="F96" s="135"/>
      <c r="G96" s="135"/>
      <c r="H96" s="135"/>
      <c r="I96" s="135"/>
      <c r="J96" s="135"/>
    </row>
    <row r="97" spans="1:11" ht="57.75" customHeight="1" thickBot="1" x14ac:dyDescent="0.25">
      <c r="A97" s="111"/>
      <c r="B97" s="333" t="s">
        <v>210</v>
      </c>
      <c r="C97" s="334"/>
      <c r="D97" s="334"/>
      <c r="E97" s="334"/>
      <c r="F97" s="334"/>
      <c r="G97" s="334"/>
      <c r="H97" s="334"/>
      <c r="I97" s="334"/>
      <c r="J97" s="335"/>
    </row>
    <row r="98" spans="1:11" s="50" customFormat="1" ht="36" customHeight="1" thickBot="1" x14ac:dyDescent="0.3">
      <c r="A98" s="113"/>
      <c r="B98" s="164" t="s">
        <v>28</v>
      </c>
      <c r="C98" s="164" t="s">
        <v>29</v>
      </c>
      <c r="D98" s="165" t="s">
        <v>30</v>
      </c>
      <c r="E98" s="164">
        <v>2017</v>
      </c>
      <c r="F98" s="164">
        <v>2018</v>
      </c>
      <c r="G98" s="163">
        <v>2019</v>
      </c>
      <c r="H98" s="164">
        <v>2020</v>
      </c>
      <c r="I98" s="165">
        <v>2021</v>
      </c>
      <c r="J98" s="162" t="s">
        <v>102</v>
      </c>
    </row>
    <row r="99" spans="1:11" s="47" customFormat="1" ht="40.5" customHeight="1" x14ac:dyDescent="0.2">
      <c r="A99" s="144"/>
      <c r="B99" s="327">
        <v>1</v>
      </c>
      <c r="C99" s="331" t="s">
        <v>247</v>
      </c>
      <c r="D99" s="218" t="s">
        <v>246</v>
      </c>
      <c r="E99" s="201">
        <f>E55</f>
        <v>0</v>
      </c>
      <c r="F99" s="201">
        <f>F55</f>
        <v>0</v>
      </c>
      <c r="G99" s="201">
        <f>G55</f>
        <v>0</v>
      </c>
      <c r="H99" s="201">
        <f>H55</f>
        <v>0</v>
      </c>
      <c r="I99" s="201">
        <f>I55</f>
        <v>0</v>
      </c>
      <c r="J99" s="201">
        <f>SUM(E99:I99)</f>
        <v>0</v>
      </c>
    </row>
    <row r="100" spans="1:11" s="47" customFormat="1" ht="40.5" customHeight="1" thickBot="1" x14ac:dyDescent="0.25">
      <c r="A100" s="144"/>
      <c r="B100" s="328"/>
      <c r="C100" s="332"/>
      <c r="D100" s="206" t="s">
        <v>305</v>
      </c>
      <c r="E100" s="129"/>
      <c r="F100" s="129"/>
      <c r="G100" s="129"/>
      <c r="H100" s="129"/>
      <c r="I100" s="129"/>
      <c r="J100" s="198">
        <f>SUM(E100:I100)</f>
        <v>0</v>
      </c>
    </row>
    <row r="101" spans="1:11" s="47" customFormat="1" ht="40.5" customHeight="1" thickBot="1" x14ac:dyDescent="0.25">
      <c r="A101" s="117"/>
      <c r="B101" s="219">
        <v>2</v>
      </c>
      <c r="C101" s="220" t="s">
        <v>79</v>
      </c>
      <c r="D101" s="221" t="s">
        <v>170</v>
      </c>
      <c r="E101" s="145"/>
      <c r="F101" s="145"/>
      <c r="G101" s="145"/>
      <c r="H101" s="145"/>
      <c r="I101" s="145"/>
      <c r="J101" s="222">
        <f>SUM(E101:I101)</f>
        <v>0</v>
      </c>
    </row>
    <row r="102" spans="1:11" x14ac:dyDescent="0.2">
      <c r="A102" s="111"/>
      <c r="B102" s="112"/>
      <c r="C102" s="111"/>
      <c r="D102" s="111"/>
      <c r="E102" s="111"/>
      <c r="F102" s="111"/>
      <c r="G102" s="111"/>
      <c r="H102" s="113"/>
      <c r="I102" s="112"/>
      <c r="J102" s="112"/>
    </row>
    <row r="103" spans="1:11" x14ac:dyDescent="0.2">
      <c r="A103" s="111"/>
      <c r="B103" s="112"/>
      <c r="C103" s="111"/>
      <c r="D103" s="111"/>
      <c r="E103" s="111"/>
      <c r="F103" s="111"/>
      <c r="G103" s="111"/>
      <c r="H103" s="113"/>
      <c r="I103" s="112"/>
      <c r="J103" s="112"/>
    </row>
    <row r="104" spans="1:11" ht="16.5" thickBot="1" x14ac:dyDescent="0.25">
      <c r="A104" s="111"/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1:11" ht="57.75" customHeight="1" thickBot="1" x14ac:dyDescent="0.3">
      <c r="A105" s="111"/>
      <c r="B105" s="333" t="s">
        <v>205</v>
      </c>
      <c r="C105" s="334"/>
      <c r="D105" s="334"/>
      <c r="E105" s="334"/>
      <c r="F105" s="334"/>
      <c r="G105" s="334"/>
      <c r="H105" s="334"/>
      <c r="I105" s="334"/>
      <c r="J105" s="335"/>
      <c r="K105" s="73"/>
    </row>
    <row r="106" spans="1:11" s="50" customFormat="1" ht="36" customHeight="1" thickBot="1" x14ac:dyDescent="0.3">
      <c r="A106" s="113"/>
      <c r="B106" s="164" t="s">
        <v>28</v>
      </c>
      <c r="C106" s="164" t="s">
        <v>29</v>
      </c>
      <c r="D106" s="223" t="s">
        <v>30</v>
      </c>
      <c r="E106" s="164">
        <v>2017</v>
      </c>
      <c r="F106" s="164">
        <v>2018</v>
      </c>
      <c r="G106" s="163">
        <v>2019</v>
      </c>
      <c r="H106" s="164">
        <v>2020</v>
      </c>
      <c r="I106" s="165">
        <v>2021</v>
      </c>
      <c r="J106" s="162" t="s">
        <v>102</v>
      </c>
      <c r="K106" s="75"/>
    </row>
    <row r="107" spans="1:11" s="47" customFormat="1" ht="36.75" customHeight="1" x14ac:dyDescent="0.2">
      <c r="A107" s="117"/>
      <c r="B107" s="375">
        <v>1</v>
      </c>
      <c r="C107" s="331" t="s">
        <v>88</v>
      </c>
      <c r="D107" s="203" t="s">
        <v>331</v>
      </c>
      <c r="E107" s="212">
        <f>SUM(E108:E109)</f>
        <v>0</v>
      </c>
      <c r="F107" s="212">
        <f>SUM(F108:F109)</f>
        <v>0</v>
      </c>
      <c r="G107" s="231">
        <f>SUM(G108:G109)</f>
        <v>0</v>
      </c>
      <c r="H107" s="212">
        <f>SUM(H108:H109)</f>
        <v>0</v>
      </c>
      <c r="I107" s="231">
        <f>SUM(I108:I109)</f>
        <v>0</v>
      </c>
      <c r="J107" s="212">
        <f>SUM(E107:I107)</f>
        <v>0</v>
      </c>
      <c r="K107" s="53"/>
    </row>
    <row r="108" spans="1:11" s="47" customFormat="1" ht="36.75" customHeight="1" x14ac:dyDescent="0.2">
      <c r="A108" s="117"/>
      <c r="B108" s="376"/>
      <c r="C108" s="378"/>
      <c r="D108" s="204" t="s">
        <v>131</v>
      </c>
      <c r="E108" s="129"/>
      <c r="F108" s="129"/>
      <c r="G108" s="129"/>
      <c r="H108" s="129"/>
      <c r="I108" s="129"/>
      <c r="J108" s="213">
        <f t="shared" ref="J108:J117" si="3">SUM(E108:I108)</f>
        <v>0</v>
      </c>
    </row>
    <row r="109" spans="1:11" s="47" customFormat="1" ht="36.75" customHeight="1" x14ac:dyDescent="0.2">
      <c r="A109" s="117"/>
      <c r="B109" s="376"/>
      <c r="C109" s="378"/>
      <c r="D109" s="204" t="s">
        <v>132</v>
      </c>
      <c r="E109" s="129"/>
      <c r="F109" s="129"/>
      <c r="G109" s="129"/>
      <c r="H109" s="129"/>
      <c r="I109" s="129"/>
      <c r="J109" s="213">
        <f t="shared" si="3"/>
        <v>0</v>
      </c>
    </row>
    <row r="110" spans="1:11" s="47" customFormat="1" ht="36.75" customHeight="1" x14ac:dyDescent="0.2">
      <c r="A110" s="117"/>
      <c r="B110" s="376"/>
      <c r="C110" s="378"/>
      <c r="D110" s="205" t="s">
        <v>332</v>
      </c>
      <c r="E110" s="213">
        <f>SUM(E111:E112)</f>
        <v>0</v>
      </c>
      <c r="F110" s="213">
        <f>SUM(F111:F112)</f>
        <v>0</v>
      </c>
      <c r="G110" s="232">
        <f>SUM(G111:G112)</f>
        <v>0</v>
      </c>
      <c r="H110" s="213">
        <f>SUM(H111:H112)</f>
        <v>0</v>
      </c>
      <c r="I110" s="232">
        <f>SUM(I111:I112)</f>
        <v>0</v>
      </c>
      <c r="J110" s="213">
        <f t="shared" si="3"/>
        <v>0</v>
      </c>
    </row>
    <row r="111" spans="1:11" s="47" customFormat="1" ht="36.75" customHeight="1" x14ac:dyDescent="0.2">
      <c r="A111" s="117"/>
      <c r="B111" s="376"/>
      <c r="C111" s="378"/>
      <c r="D111" s="204" t="s">
        <v>134</v>
      </c>
      <c r="E111" s="129"/>
      <c r="F111" s="129"/>
      <c r="G111" s="129"/>
      <c r="H111" s="129"/>
      <c r="I111" s="129"/>
      <c r="J111" s="213">
        <f t="shared" si="3"/>
        <v>0</v>
      </c>
    </row>
    <row r="112" spans="1:11" s="47" customFormat="1" ht="36.75" customHeight="1" x14ac:dyDescent="0.2">
      <c r="A112" s="117"/>
      <c r="B112" s="376"/>
      <c r="C112" s="378"/>
      <c r="D112" s="204" t="s">
        <v>135</v>
      </c>
      <c r="E112" s="129"/>
      <c r="F112" s="129"/>
      <c r="G112" s="129"/>
      <c r="H112" s="129"/>
      <c r="I112" s="129"/>
      <c r="J112" s="213">
        <f t="shared" si="3"/>
        <v>0</v>
      </c>
    </row>
    <row r="113" spans="1:14" s="47" customFormat="1" ht="36.75" customHeight="1" x14ac:dyDescent="0.2">
      <c r="A113" s="117"/>
      <c r="B113" s="376"/>
      <c r="C113" s="378"/>
      <c r="D113" s="205" t="s">
        <v>329</v>
      </c>
      <c r="E113" s="198">
        <f>E107</f>
        <v>0</v>
      </c>
      <c r="F113" s="198">
        <f>F107</f>
        <v>0</v>
      </c>
      <c r="G113" s="198">
        <f>G107</f>
        <v>0</v>
      </c>
      <c r="H113" s="198">
        <f>H107</f>
        <v>0</v>
      </c>
      <c r="I113" s="198">
        <f>I107</f>
        <v>0</v>
      </c>
      <c r="J113" s="213">
        <f t="shared" si="3"/>
        <v>0</v>
      </c>
      <c r="K113" s="54"/>
      <c r="L113" s="54"/>
      <c r="M113" s="54"/>
      <c r="N113" s="54"/>
    </row>
    <row r="114" spans="1:14" s="47" customFormat="1" ht="36.75" customHeight="1" thickBot="1" x14ac:dyDescent="0.25">
      <c r="A114" s="117"/>
      <c r="B114" s="377"/>
      <c r="C114" s="332"/>
      <c r="D114" s="224" t="s">
        <v>330</v>
      </c>
      <c r="E114" s="200">
        <f>E110</f>
        <v>0</v>
      </c>
      <c r="F114" s="200">
        <f>F110</f>
        <v>0</v>
      </c>
      <c r="G114" s="200">
        <f>G110</f>
        <v>0</v>
      </c>
      <c r="H114" s="200">
        <f>H110</f>
        <v>0</v>
      </c>
      <c r="I114" s="200">
        <f>I110</f>
        <v>0</v>
      </c>
      <c r="J114" s="233">
        <f t="shared" si="3"/>
        <v>0</v>
      </c>
      <c r="K114" s="55"/>
      <c r="L114" s="55"/>
      <c r="M114" s="55"/>
      <c r="N114" s="55"/>
    </row>
    <row r="115" spans="1:14" s="47" customFormat="1" ht="43.5" customHeight="1" thickBot="1" x14ac:dyDescent="0.25">
      <c r="A115" s="144"/>
      <c r="B115" s="225">
        <v>2</v>
      </c>
      <c r="C115" s="226" t="s">
        <v>0</v>
      </c>
      <c r="D115" s="227" t="s">
        <v>252</v>
      </c>
      <c r="E115" s="147"/>
      <c r="F115" s="147"/>
      <c r="G115" s="147"/>
      <c r="H115" s="147"/>
      <c r="I115" s="147"/>
      <c r="J115" s="234">
        <f t="shared" si="3"/>
        <v>0</v>
      </c>
    </row>
    <row r="116" spans="1:14" s="47" customFormat="1" ht="43.5" customHeight="1" thickBot="1" x14ac:dyDescent="0.25">
      <c r="A116" s="117"/>
      <c r="B116" s="228">
        <v>3</v>
      </c>
      <c r="C116" s="229" t="s">
        <v>333</v>
      </c>
      <c r="D116" s="230" t="s">
        <v>334</v>
      </c>
      <c r="E116" s="145"/>
      <c r="F116" s="145"/>
      <c r="G116" s="145"/>
      <c r="H116" s="145"/>
      <c r="I116" s="145"/>
      <c r="J116" s="235">
        <f t="shared" si="3"/>
        <v>0</v>
      </c>
    </row>
    <row r="117" spans="1:14" s="47" customFormat="1" ht="66.75" customHeight="1" thickBot="1" x14ac:dyDescent="0.25">
      <c r="A117" s="117"/>
      <c r="B117" s="228">
        <v>4</v>
      </c>
      <c r="C117" s="220" t="s">
        <v>261</v>
      </c>
      <c r="D117" s="221" t="s">
        <v>280</v>
      </c>
      <c r="E117" s="145"/>
      <c r="F117" s="145"/>
      <c r="G117" s="145"/>
      <c r="H117" s="145"/>
      <c r="I117" s="145"/>
      <c r="J117" s="235">
        <f t="shared" si="3"/>
        <v>0</v>
      </c>
    </row>
    <row r="118" spans="1:14" x14ac:dyDescent="0.2">
      <c r="A118" s="111"/>
      <c r="B118" s="112"/>
      <c r="C118" s="111"/>
      <c r="D118" s="111"/>
      <c r="E118" s="111"/>
      <c r="F118" s="111"/>
      <c r="G118" s="111"/>
      <c r="H118" s="113"/>
      <c r="I118" s="112"/>
      <c r="J118" s="112"/>
    </row>
    <row r="119" spans="1:14" x14ac:dyDescent="0.2">
      <c r="A119" s="111"/>
      <c r="B119" s="112"/>
      <c r="C119" s="111"/>
      <c r="D119" s="111"/>
      <c r="E119" s="111"/>
      <c r="F119" s="111"/>
      <c r="G119" s="111"/>
      <c r="H119" s="113"/>
      <c r="I119" s="112"/>
      <c r="J119" s="112"/>
    </row>
    <row r="120" spans="1:14" ht="16.5" thickBot="1" x14ac:dyDescent="0.25">
      <c r="A120" s="111"/>
      <c r="B120" s="112"/>
      <c r="C120" s="148"/>
      <c r="D120" s="148"/>
      <c r="E120" s="148"/>
      <c r="F120" s="148"/>
      <c r="G120" s="148"/>
      <c r="H120" s="148"/>
      <c r="I120" s="148"/>
      <c r="J120" s="148"/>
    </row>
    <row r="121" spans="1:14" ht="57.75" customHeight="1" thickBot="1" x14ac:dyDescent="0.25">
      <c r="A121" s="111"/>
      <c r="B121" s="333" t="s">
        <v>206</v>
      </c>
      <c r="C121" s="334"/>
      <c r="D121" s="334"/>
      <c r="E121" s="334"/>
      <c r="F121" s="334"/>
      <c r="G121" s="334"/>
      <c r="H121" s="334"/>
      <c r="I121" s="334"/>
      <c r="J121" s="335"/>
    </row>
    <row r="122" spans="1:14" ht="36" customHeight="1" thickBot="1" x14ac:dyDescent="0.25">
      <c r="A122" s="111"/>
      <c r="B122" s="162" t="s">
        <v>16</v>
      </c>
      <c r="C122" s="236" t="s">
        <v>118</v>
      </c>
      <c r="D122" s="163" t="s">
        <v>119</v>
      </c>
      <c r="E122" s="164">
        <v>2017</v>
      </c>
      <c r="F122" s="164">
        <v>2018</v>
      </c>
      <c r="G122" s="163">
        <v>2019</v>
      </c>
      <c r="H122" s="164">
        <v>2020</v>
      </c>
      <c r="I122" s="165">
        <v>2021</v>
      </c>
      <c r="J122" s="162" t="s">
        <v>102</v>
      </c>
    </row>
    <row r="123" spans="1:14" ht="36" customHeight="1" thickBot="1" x14ac:dyDescent="0.25">
      <c r="A123" s="111"/>
      <c r="B123" s="219">
        <v>1</v>
      </c>
      <c r="C123" s="237" t="s">
        <v>123</v>
      </c>
      <c r="D123" s="221" t="s">
        <v>281</v>
      </c>
      <c r="E123" s="149"/>
      <c r="F123" s="149"/>
      <c r="G123" s="149"/>
      <c r="H123" s="149"/>
      <c r="I123" s="149"/>
      <c r="J123" s="245">
        <f t="shared" ref="J123:J128" si="4">SUM(E123:I123)</f>
        <v>0</v>
      </c>
    </row>
    <row r="124" spans="1:14" s="47" customFormat="1" ht="36" customHeight="1" thickBot="1" x14ac:dyDescent="0.25">
      <c r="A124" s="144"/>
      <c r="B124" s="238">
        <v>2</v>
      </c>
      <c r="C124" s="239" t="s">
        <v>124</v>
      </c>
      <c r="D124" s="240" t="s">
        <v>335</v>
      </c>
      <c r="E124" s="150"/>
      <c r="F124" s="150"/>
      <c r="G124" s="150"/>
      <c r="H124" s="150"/>
      <c r="I124" s="150"/>
      <c r="J124" s="246">
        <f t="shared" si="4"/>
        <v>0</v>
      </c>
    </row>
    <row r="125" spans="1:14" s="47" customFormat="1" ht="36" customHeight="1" x14ac:dyDescent="0.2">
      <c r="A125" s="117"/>
      <c r="B125" s="336">
        <v>3</v>
      </c>
      <c r="C125" s="339" t="s">
        <v>229</v>
      </c>
      <c r="D125" s="241" t="s">
        <v>336</v>
      </c>
      <c r="E125" s="151"/>
      <c r="F125" s="151"/>
      <c r="G125" s="151"/>
      <c r="H125" s="151"/>
      <c r="I125" s="151"/>
      <c r="J125" s="247">
        <f t="shared" si="4"/>
        <v>0</v>
      </c>
      <c r="K125" s="53"/>
    </row>
    <row r="126" spans="1:14" s="47" customFormat="1" ht="36" customHeight="1" thickBot="1" x14ac:dyDescent="0.25">
      <c r="A126" s="117"/>
      <c r="B126" s="338"/>
      <c r="C126" s="341"/>
      <c r="D126" s="242" t="s">
        <v>337</v>
      </c>
      <c r="E126" s="142"/>
      <c r="F126" s="142"/>
      <c r="G126" s="142"/>
      <c r="H126" s="142"/>
      <c r="I126" s="142"/>
      <c r="J126" s="248">
        <f t="shared" si="4"/>
        <v>0</v>
      </c>
    </row>
    <row r="127" spans="1:14" s="47" customFormat="1" ht="36" customHeight="1" thickBot="1" x14ac:dyDescent="0.25">
      <c r="A127" s="144"/>
      <c r="B127" s="219">
        <v>4</v>
      </c>
      <c r="C127" s="243" t="s">
        <v>3</v>
      </c>
      <c r="D127" s="240" t="s">
        <v>89</v>
      </c>
      <c r="E127" s="149"/>
      <c r="F127" s="149"/>
      <c r="G127" s="149"/>
      <c r="H127" s="149"/>
      <c r="I127" s="149"/>
      <c r="J127" s="246">
        <f t="shared" si="4"/>
        <v>0</v>
      </c>
    </row>
    <row r="128" spans="1:14" s="47" customFormat="1" ht="49.5" customHeight="1" thickBot="1" x14ac:dyDescent="0.25">
      <c r="A128" s="117"/>
      <c r="B128" s="219">
        <v>5</v>
      </c>
      <c r="C128" s="244" t="s">
        <v>87</v>
      </c>
      <c r="D128" s="221" t="s">
        <v>89</v>
      </c>
      <c r="E128" s="149"/>
      <c r="F128" s="149"/>
      <c r="G128" s="149"/>
      <c r="H128" s="149"/>
      <c r="I128" s="149"/>
      <c r="J128" s="245">
        <f t="shared" si="4"/>
        <v>0</v>
      </c>
    </row>
    <row r="129" spans="1:10" ht="15" customHeight="1" x14ac:dyDescent="0.2">
      <c r="A129" s="111"/>
      <c r="B129" s="146"/>
      <c r="C129" s="152"/>
      <c r="D129" s="152"/>
      <c r="E129" s="153"/>
      <c r="F129" s="154"/>
      <c r="G129" s="155"/>
      <c r="H129" s="156"/>
      <c r="I129" s="156"/>
      <c r="J129" s="155"/>
    </row>
    <row r="130" spans="1:10" ht="15" customHeight="1" x14ac:dyDescent="0.2">
      <c r="A130" s="111"/>
      <c r="B130" s="146"/>
      <c r="C130" s="152"/>
      <c r="D130" s="152"/>
      <c r="E130" s="153"/>
      <c r="F130" s="154"/>
      <c r="G130" s="155"/>
      <c r="H130" s="156"/>
      <c r="I130" s="156"/>
      <c r="J130" s="155"/>
    </row>
    <row r="131" spans="1:10" ht="15.75" thickBot="1" x14ac:dyDescent="0.25">
      <c r="A131" s="111"/>
      <c r="B131" s="146"/>
      <c r="C131" s="157"/>
      <c r="D131" s="157"/>
      <c r="E131" s="157"/>
      <c r="F131" s="157"/>
      <c r="G131" s="157"/>
      <c r="H131" s="157"/>
      <c r="I131" s="157"/>
      <c r="J131" s="157"/>
    </row>
    <row r="132" spans="1:10" s="47" customFormat="1" ht="57.75" customHeight="1" thickBot="1" x14ac:dyDescent="0.25">
      <c r="A132" s="117"/>
      <c r="B132" s="333" t="s">
        <v>212</v>
      </c>
      <c r="C132" s="334"/>
      <c r="D132" s="334"/>
      <c r="E132" s="334"/>
      <c r="F132" s="334"/>
      <c r="G132" s="334"/>
      <c r="H132" s="334"/>
      <c r="I132" s="334"/>
      <c r="J132" s="335"/>
    </row>
    <row r="133" spans="1:10" ht="36" customHeight="1" thickBot="1" x14ac:dyDescent="0.25">
      <c r="A133" s="111"/>
      <c r="B133" s="162" t="s">
        <v>16</v>
      </c>
      <c r="C133" s="236" t="s">
        <v>118</v>
      </c>
      <c r="D133" s="163" t="s">
        <v>119</v>
      </c>
      <c r="E133" s="164">
        <v>2017</v>
      </c>
      <c r="F133" s="164">
        <v>2018</v>
      </c>
      <c r="G133" s="163">
        <v>2019</v>
      </c>
      <c r="H133" s="164">
        <v>2020</v>
      </c>
      <c r="I133" s="165">
        <v>2021</v>
      </c>
      <c r="J133" s="162" t="s">
        <v>102</v>
      </c>
    </row>
    <row r="134" spans="1:10" ht="36" customHeight="1" x14ac:dyDescent="0.2">
      <c r="A134" s="111"/>
      <c r="B134" s="336">
        <v>1</v>
      </c>
      <c r="C134" s="339" t="s">
        <v>125</v>
      </c>
      <c r="D134" s="249" t="s">
        <v>317</v>
      </c>
      <c r="E134" s="196">
        <f>SUM(E135:E136)</f>
        <v>0</v>
      </c>
      <c r="F134" s="196">
        <f>SUM(F135:F136)</f>
        <v>0</v>
      </c>
      <c r="G134" s="252">
        <f>SUM(G135:G136)</f>
        <v>0</v>
      </c>
      <c r="H134" s="196">
        <f>SUM(H135:H136)</f>
        <v>0</v>
      </c>
      <c r="I134" s="252">
        <f>SUM(I135:I136)</f>
        <v>0</v>
      </c>
      <c r="J134" s="174">
        <f>SUM(E134:I134)</f>
        <v>0</v>
      </c>
    </row>
    <row r="135" spans="1:10" ht="36" customHeight="1" x14ac:dyDescent="0.2">
      <c r="A135" s="111"/>
      <c r="B135" s="337"/>
      <c r="C135" s="340"/>
      <c r="D135" s="250" t="s">
        <v>134</v>
      </c>
      <c r="E135" s="129"/>
      <c r="F135" s="129"/>
      <c r="G135" s="129"/>
      <c r="H135" s="129"/>
      <c r="I135" s="129"/>
      <c r="J135" s="176">
        <f t="shared" ref="J135:J141" si="5">SUM(E135:I135)</f>
        <v>0</v>
      </c>
    </row>
    <row r="136" spans="1:10" ht="36" customHeight="1" x14ac:dyDescent="0.2">
      <c r="A136" s="111"/>
      <c r="B136" s="337"/>
      <c r="C136" s="340"/>
      <c r="D136" s="250" t="s">
        <v>135</v>
      </c>
      <c r="E136" s="129"/>
      <c r="F136" s="129"/>
      <c r="G136" s="129"/>
      <c r="H136" s="129"/>
      <c r="I136" s="129"/>
      <c r="J136" s="176">
        <f t="shared" si="5"/>
        <v>0</v>
      </c>
    </row>
    <row r="137" spans="1:10" ht="36" customHeight="1" x14ac:dyDescent="0.2">
      <c r="A137" s="111"/>
      <c r="B137" s="337"/>
      <c r="C137" s="340"/>
      <c r="D137" s="250" t="s">
        <v>338</v>
      </c>
      <c r="E137" s="129"/>
      <c r="F137" s="129"/>
      <c r="G137" s="129"/>
      <c r="H137" s="129"/>
      <c r="I137" s="129"/>
      <c r="J137" s="176">
        <f t="shared" si="5"/>
        <v>0</v>
      </c>
    </row>
    <row r="138" spans="1:10" ht="48" customHeight="1" x14ac:dyDescent="0.2">
      <c r="A138" s="111"/>
      <c r="B138" s="337"/>
      <c r="C138" s="340"/>
      <c r="D138" s="250" t="s">
        <v>306</v>
      </c>
      <c r="E138" s="129"/>
      <c r="F138" s="129"/>
      <c r="G138" s="129"/>
      <c r="H138" s="129"/>
      <c r="I138" s="129"/>
      <c r="J138" s="176">
        <f t="shared" si="5"/>
        <v>0</v>
      </c>
    </row>
    <row r="139" spans="1:10" ht="36" customHeight="1" x14ac:dyDescent="0.2">
      <c r="A139" s="111"/>
      <c r="B139" s="337"/>
      <c r="C139" s="340"/>
      <c r="D139" s="250" t="s">
        <v>307</v>
      </c>
      <c r="E139" s="129"/>
      <c r="F139" s="129"/>
      <c r="G139" s="129"/>
      <c r="H139" s="129"/>
      <c r="I139" s="129"/>
      <c r="J139" s="176">
        <f t="shared" si="5"/>
        <v>0</v>
      </c>
    </row>
    <row r="140" spans="1:10" ht="36" customHeight="1" x14ac:dyDescent="0.2">
      <c r="A140" s="111"/>
      <c r="B140" s="337"/>
      <c r="C140" s="340"/>
      <c r="D140" s="250" t="s">
        <v>283</v>
      </c>
      <c r="E140" s="129"/>
      <c r="F140" s="129"/>
      <c r="G140" s="129"/>
      <c r="H140" s="129"/>
      <c r="I140" s="129"/>
      <c r="J140" s="176">
        <f t="shared" si="5"/>
        <v>0</v>
      </c>
    </row>
    <row r="141" spans="1:10" ht="52.9" customHeight="1" thickBot="1" x14ac:dyDescent="0.25">
      <c r="A141" s="111"/>
      <c r="B141" s="338"/>
      <c r="C141" s="341"/>
      <c r="D141" s="251" t="s">
        <v>308</v>
      </c>
      <c r="E141" s="129"/>
      <c r="F141" s="129"/>
      <c r="G141" s="129"/>
      <c r="H141" s="129"/>
      <c r="I141" s="129"/>
      <c r="J141" s="186">
        <f t="shared" si="5"/>
        <v>0</v>
      </c>
    </row>
    <row r="142" spans="1:10" x14ac:dyDescent="0.2">
      <c r="A142" s="111"/>
      <c r="B142" s="112"/>
      <c r="C142" s="111"/>
      <c r="D142" s="111"/>
      <c r="E142" s="111"/>
      <c r="F142" s="111"/>
      <c r="G142" s="111"/>
      <c r="H142" s="113"/>
      <c r="I142" s="112"/>
      <c r="J142" s="112"/>
    </row>
    <row r="143" spans="1:10" x14ac:dyDescent="0.2">
      <c r="A143" s="111"/>
      <c r="B143" s="112"/>
      <c r="C143" s="111"/>
      <c r="D143" s="111"/>
      <c r="E143" s="111"/>
      <c r="F143" s="111"/>
      <c r="G143" s="111"/>
      <c r="H143" s="113"/>
      <c r="I143" s="112"/>
      <c r="J143" s="112"/>
    </row>
    <row r="144" spans="1:10" ht="16.5" thickBot="1" x14ac:dyDescent="0.25">
      <c r="A144" s="111"/>
      <c r="B144" s="135"/>
      <c r="C144" s="135"/>
      <c r="D144" s="135"/>
      <c r="E144" s="135"/>
      <c r="F144" s="135"/>
      <c r="G144" s="135"/>
      <c r="H144" s="135"/>
      <c r="I144" s="135"/>
      <c r="J144" s="135"/>
    </row>
    <row r="145" spans="1:10" ht="57.75" customHeight="1" thickBot="1" x14ac:dyDescent="0.25">
      <c r="A145" s="111"/>
      <c r="B145" s="333" t="s">
        <v>211</v>
      </c>
      <c r="C145" s="334"/>
      <c r="D145" s="334"/>
      <c r="E145" s="334"/>
      <c r="F145" s="334"/>
      <c r="G145" s="334"/>
      <c r="H145" s="334"/>
      <c r="I145" s="334"/>
      <c r="J145" s="335"/>
    </row>
    <row r="146" spans="1:10" ht="36" customHeight="1" thickBot="1" x14ac:dyDescent="0.25">
      <c r="A146" s="111"/>
      <c r="B146" s="253" t="s">
        <v>28</v>
      </c>
      <c r="C146" s="254" t="s">
        <v>29</v>
      </c>
      <c r="D146" s="255" t="s">
        <v>30</v>
      </c>
      <c r="E146" s="164">
        <v>2017</v>
      </c>
      <c r="F146" s="164">
        <v>2018</v>
      </c>
      <c r="G146" s="163">
        <v>2019</v>
      </c>
      <c r="H146" s="164">
        <v>2020</v>
      </c>
      <c r="I146" s="165">
        <v>2021</v>
      </c>
      <c r="J146" s="162" t="s">
        <v>102</v>
      </c>
    </row>
    <row r="147" spans="1:10" ht="39" customHeight="1" thickBot="1" x14ac:dyDescent="0.25">
      <c r="A147" s="111"/>
      <c r="B147" s="256">
        <v>1</v>
      </c>
      <c r="C147" s="257" t="s">
        <v>126</v>
      </c>
      <c r="D147" s="258" t="s">
        <v>344</v>
      </c>
      <c r="E147" s="158"/>
      <c r="F147" s="158"/>
      <c r="G147" s="158"/>
      <c r="H147" s="158"/>
      <c r="I147" s="158"/>
      <c r="J147" s="263">
        <f>SUM(E147:I147)</f>
        <v>0</v>
      </c>
    </row>
    <row r="148" spans="1:10" ht="39" customHeight="1" thickBot="1" x14ac:dyDescent="0.25">
      <c r="A148" s="111"/>
      <c r="B148" s="327">
        <v>2</v>
      </c>
      <c r="C148" s="339" t="s">
        <v>127</v>
      </c>
      <c r="D148" s="259" t="s">
        <v>136</v>
      </c>
      <c r="E148" s="145"/>
      <c r="F148" s="145"/>
      <c r="G148" s="145"/>
      <c r="H148" s="145"/>
      <c r="I148" s="145"/>
      <c r="J148" s="174">
        <f>SUM(E148:I148)</f>
        <v>0</v>
      </c>
    </row>
    <row r="149" spans="1:10" ht="39" customHeight="1" thickBot="1" x14ac:dyDescent="0.25">
      <c r="A149" s="111"/>
      <c r="B149" s="328"/>
      <c r="C149" s="340"/>
      <c r="D149" s="362" t="s">
        <v>128</v>
      </c>
      <c r="E149" s="362"/>
      <c r="F149" s="362"/>
      <c r="G149" s="362"/>
      <c r="H149" s="362"/>
      <c r="I149" s="362"/>
      <c r="J149" s="363"/>
    </row>
    <row r="150" spans="1:10" ht="39" customHeight="1" thickBot="1" x14ac:dyDescent="0.25">
      <c r="A150" s="111"/>
      <c r="B150" s="328"/>
      <c r="C150" s="340"/>
      <c r="D150" s="260" t="s">
        <v>137</v>
      </c>
      <c r="E150" s="145"/>
      <c r="F150" s="145"/>
      <c r="G150" s="145"/>
      <c r="H150" s="145"/>
      <c r="I150" s="145"/>
      <c r="J150" s="186">
        <f>SUM(E150:I150)</f>
        <v>0</v>
      </c>
    </row>
    <row r="151" spans="1:10" ht="39" customHeight="1" thickBot="1" x14ac:dyDescent="0.25">
      <c r="A151" s="111"/>
      <c r="B151" s="328"/>
      <c r="C151" s="340"/>
      <c r="D151" s="362" t="s">
        <v>128</v>
      </c>
      <c r="E151" s="362"/>
      <c r="F151" s="362"/>
      <c r="G151" s="362"/>
      <c r="H151" s="362"/>
      <c r="I151" s="362"/>
      <c r="J151" s="363"/>
    </row>
    <row r="152" spans="1:10" ht="39" customHeight="1" x14ac:dyDescent="0.2">
      <c r="A152" s="111"/>
      <c r="B152" s="328"/>
      <c r="C152" s="340"/>
      <c r="D152" s="241" t="s">
        <v>309</v>
      </c>
      <c r="E152" s="134"/>
      <c r="F152" s="134"/>
      <c r="G152" s="134"/>
      <c r="H152" s="134"/>
      <c r="I152" s="134"/>
      <c r="J152" s="264">
        <f>SUM(E152:I152)</f>
        <v>0</v>
      </c>
    </row>
    <row r="153" spans="1:10" ht="39" customHeight="1" thickBot="1" x14ac:dyDescent="0.25">
      <c r="A153" s="111"/>
      <c r="B153" s="328"/>
      <c r="C153" s="340"/>
      <c r="D153" s="261" t="s">
        <v>310</v>
      </c>
      <c r="E153" s="159"/>
      <c r="F153" s="159"/>
      <c r="G153" s="159"/>
      <c r="H153" s="159"/>
      <c r="I153" s="159"/>
      <c r="J153" s="265">
        <f>SUM(E153:I153)</f>
        <v>0</v>
      </c>
    </row>
    <row r="154" spans="1:10" ht="39" customHeight="1" thickBot="1" x14ac:dyDescent="0.25">
      <c r="A154" s="111"/>
      <c r="B154" s="328"/>
      <c r="C154" s="340"/>
      <c r="D154" s="318" t="s">
        <v>128</v>
      </c>
      <c r="E154" s="319"/>
      <c r="F154" s="319"/>
      <c r="G154" s="319"/>
      <c r="H154" s="319"/>
      <c r="I154" s="319"/>
      <c r="J154" s="320"/>
    </row>
    <row r="155" spans="1:10" ht="31.9" customHeight="1" thickBot="1" x14ac:dyDescent="0.25">
      <c r="A155" s="111"/>
      <c r="B155" s="330"/>
      <c r="C155" s="341"/>
      <c r="D155" s="262" t="s">
        <v>234</v>
      </c>
      <c r="E155" s="160"/>
      <c r="F155" s="160"/>
      <c r="G155" s="160"/>
      <c r="H155" s="160"/>
      <c r="I155" s="160"/>
      <c r="J155" s="266">
        <f>IFERROR(IF(AVERAGE(E155:I155)&gt;1,1,AVERAGE(E155:I155)),0)</f>
        <v>0</v>
      </c>
    </row>
  </sheetData>
  <sheetProtection algorithmName="SHA-512" hashValue="AazmHWevNrcPa1Y//e8sFr9C9Ih/r0A4s+q6cRjMyS7TcVVOi4uylnvO8Cqn7HxzJYgHip3wgVv/mYM4doGUkA==" saltValue="8VJsp8FiA9UiG2uUKjY5Xw==" spinCount="100000" sheet="1" selectLockedCells="1"/>
  <mergeCells count="42">
    <mergeCell ref="D151:J151"/>
    <mergeCell ref="D149:J149"/>
    <mergeCell ref="B66:B67"/>
    <mergeCell ref="C66:C67"/>
    <mergeCell ref="B68:B70"/>
    <mergeCell ref="C68:C70"/>
    <mergeCell ref="B71:B72"/>
    <mergeCell ref="C71:C72"/>
    <mergeCell ref="B148:B155"/>
    <mergeCell ref="C148:C155"/>
    <mergeCell ref="B132:J132"/>
    <mergeCell ref="C78:C89"/>
    <mergeCell ref="B107:B114"/>
    <mergeCell ref="C107:C114"/>
    <mergeCell ref="B121:J121"/>
    <mergeCell ref="B105:J105"/>
    <mergeCell ref="B2:J2"/>
    <mergeCell ref="B58:J58"/>
    <mergeCell ref="B3:J3"/>
    <mergeCell ref="B5:I5"/>
    <mergeCell ref="C29:C54"/>
    <mergeCell ref="B29:B54"/>
    <mergeCell ref="C55:C56"/>
    <mergeCell ref="B55:B56"/>
    <mergeCell ref="B7:J7"/>
    <mergeCell ref="B9:B28"/>
    <mergeCell ref="D154:J154"/>
    <mergeCell ref="C90:C93"/>
    <mergeCell ref="C9:C28"/>
    <mergeCell ref="B78:B89"/>
    <mergeCell ref="B90:B93"/>
    <mergeCell ref="B99:B100"/>
    <mergeCell ref="C99:C100"/>
    <mergeCell ref="B145:J145"/>
    <mergeCell ref="B134:B141"/>
    <mergeCell ref="C134:C141"/>
    <mergeCell ref="B60:B65"/>
    <mergeCell ref="B125:B126"/>
    <mergeCell ref="C125:C126"/>
    <mergeCell ref="B97:J97"/>
    <mergeCell ref="C60:C65"/>
    <mergeCell ref="B76:J76"/>
  </mergeCells>
  <conditionalFormatting sqref="E155:I155">
    <cfRule type="cellIs" dxfId="104" priority="5" stopIfTrue="1" operator="greaterThan">
      <formula>1</formula>
    </cfRule>
  </conditionalFormatting>
  <conditionalFormatting sqref="F155">
    <cfRule type="cellIs" dxfId="103" priority="4" stopIfTrue="1" operator="greaterThan">
      <formula>1</formula>
    </cfRule>
  </conditionalFormatting>
  <conditionalFormatting sqref="G155">
    <cfRule type="cellIs" dxfId="102" priority="3" stopIfTrue="1" operator="greaterThan">
      <formula>1</formula>
    </cfRule>
  </conditionalFormatting>
  <conditionalFormatting sqref="H155">
    <cfRule type="cellIs" dxfId="101" priority="2" stopIfTrue="1" operator="greaterThan">
      <formula>1</formula>
    </cfRule>
  </conditionalFormatting>
  <conditionalFormatting sqref="I155">
    <cfRule type="cellIs" dxfId="100" priority="1" stopIfTrue="1" operator="greaterThan">
      <formula>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D118"/>
  <sheetViews>
    <sheetView topLeftCell="B1" zoomScale="80" zoomScaleNormal="80" zoomScaleSheetLayoutView="80" zoomScalePageLayoutView="110" workbookViewId="0">
      <selection activeCell="B1" sqref="B1:P118"/>
    </sheetView>
  </sheetViews>
  <sheetFormatPr defaultColWidth="11.42578125" defaultRowHeight="15.75" x14ac:dyDescent="0.2"/>
  <cols>
    <col min="1" max="1" width="5.7109375" style="52" hidden="1" customWidth="1"/>
    <col min="2" max="2" width="5.28515625" style="51" customWidth="1"/>
    <col min="3" max="3" width="28.7109375" style="52" customWidth="1"/>
    <col min="4" max="4" width="41.7109375" style="52" customWidth="1"/>
    <col min="5" max="7" width="13.28515625" style="52" customWidth="1"/>
    <col min="8" max="8" width="17.85546875" style="50" customWidth="1"/>
    <col min="9" max="9" width="17.42578125" style="51" customWidth="1"/>
    <col min="10" max="10" width="14.28515625" style="85" customWidth="1"/>
    <col min="11" max="15" width="14.28515625" style="58" customWidth="1"/>
    <col min="16" max="16" width="16" style="58" customWidth="1"/>
    <col min="17" max="26" width="11.42578125" style="52" hidden="1" customWidth="1"/>
    <col min="27" max="27" width="8.7109375" style="52" customWidth="1"/>
    <col min="28" max="28" width="8.28515625" style="52" customWidth="1"/>
    <col min="29" max="29" width="7.85546875" style="52" customWidth="1"/>
    <col min="30" max="30" width="9.5703125" style="52" customWidth="1"/>
    <col min="31" max="16384" width="11.42578125" style="52"/>
  </cols>
  <sheetData>
    <row r="1" spans="2:27" x14ac:dyDescent="0.2">
      <c r="B1" s="112"/>
      <c r="C1" s="111"/>
      <c r="D1" s="111"/>
      <c r="E1" s="111"/>
      <c r="F1" s="111"/>
      <c r="G1" s="111"/>
      <c r="H1" s="113"/>
      <c r="I1" s="112"/>
      <c r="J1" s="380"/>
      <c r="K1" s="381"/>
      <c r="L1" s="381"/>
      <c r="M1" s="381"/>
      <c r="N1" s="381"/>
      <c r="O1" s="381"/>
      <c r="P1" s="381"/>
    </row>
    <row r="2" spans="2:27" s="51" customFormat="1" ht="26.25" customHeight="1" x14ac:dyDescent="0.25">
      <c r="B2" s="382" t="s">
        <v>207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27" s="51" customFormat="1" ht="26.25" customHeight="1" x14ac:dyDescent="0.25">
      <c r="B3" s="382" t="s">
        <v>117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2:27" s="51" customFormat="1" ht="15.75" customHeight="1" x14ac:dyDescent="0.25"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</row>
    <row r="5" spans="2:27" s="51" customFormat="1" ht="15.75" customHeight="1" thickBot="1" x14ac:dyDescent="0.3"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</row>
    <row r="6" spans="2:27" s="51" customFormat="1" ht="26.25" hidden="1" customHeight="1" x14ac:dyDescent="0.25">
      <c r="B6" s="114"/>
      <c r="C6" s="114"/>
      <c r="D6" s="114"/>
      <c r="E6" s="114"/>
      <c r="F6" s="114"/>
      <c r="G6" s="114"/>
      <c r="H6" s="114"/>
      <c r="I6" s="114"/>
      <c r="J6" s="384" t="s">
        <v>270</v>
      </c>
      <c r="K6" s="385">
        <f>'Data (Section A-H)'!E66+'Data (Section A-H)'!E67</f>
        <v>0</v>
      </c>
      <c r="L6" s="385">
        <f>'Data (Section A-H)'!F66+'Data (Section A-H)'!F67</f>
        <v>0</v>
      </c>
      <c r="M6" s="385">
        <f>'Data (Section A-H)'!G66+'Data (Section A-H)'!G67</f>
        <v>0</v>
      </c>
      <c r="N6" s="385">
        <f>'Data (Section A-H)'!H66+'Data (Section A-H)'!H67</f>
        <v>0</v>
      </c>
      <c r="O6" s="385">
        <f>'Data (Section A-H)'!I66+'Data (Section A-H)'!I67</f>
        <v>0</v>
      </c>
      <c r="P6" s="381"/>
    </row>
    <row r="7" spans="2:27" s="51" customFormat="1" ht="26.25" hidden="1" customHeight="1" thickBot="1" x14ac:dyDescent="0.3">
      <c r="B7" s="135"/>
      <c r="C7" s="135"/>
      <c r="D7" s="135"/>
      <c r="E7" s="135"/>
      <c r="F7" s="135"/>
      <c r="G7" s="135"/>
      <c r="H7" s="135"/>
      <c r="I7" s="135"/>
      <c r="J7" s="384" t="s">
        <v>269</v>
      </c>
      <c r="K7" s="385">
        <f>'Data (Section A-H)'!E60</f>
        <v>0</v>
      </c>
      <c r="L7" s="385">
        <f>'Data (Section A-H)'!F60</f>
        <v>0</v>
      </c>
      <c r="M7" s="385">
        <f>'Data (Section A-H)'!G60</f>
        <v>0</v>
      </c>
      <c r="N7" s="385">
        <f>'Data (Section A-H)'!H60</f>
        <v>0</v>
      </c>
      <c r="O7" s="385">
        <f>'Data (Section A-H)'!I60</f>
        <v>0</v>
      </c>
      <c r="P7" s="381"/>
    </row>
    <row r="8" spans="2:27" ht="36" customHeight="1" thickBot="1" x14ac:dyDescent="0.25">
      <c r="B8" s="386" t="s">
        <v>208</v>
      </c>
      <c r="C8" s="387"/>
      <c r="D8" s="387"/>
      <c r="E8" s="387"/>
      <c r="F8" s="387"/>
      <c r="G8" s="387"/>
      <c r="H8" s="387"/>
      <c r="I8" s="388"/>
      <c r="J8" s="389">
        <v>15</v>
      </c>
      <c r="K8" s="390" t="s">
        <v>227</v>
      </c>
      <c r="L8" s="387"/>
      <c r="M8" s="387"/>
      <c r="N8" s="387"/>
      <c r="O8" s="388"/>
      <c r="P8" s="391" t="s">
        <v>143</v>
      </c>
    </row>
    <row r="9" spans="2:27" s="50" customFormat="1" ht="41.25" customHeight="1" thickBot="1" x14ac:dyDescent="0.3">
      <c r="B9" s="392" t="s">
        <v>28</v>
      </c>
      <c r="C9" s="393" t="s">
        <v>29</v>
      </c>
      <c r="D9" s="394" t="s">
        <v>30</v>
      </c>
      <c r="E9" s="394" t="s">
        <v>31</v>
      </c>
      <c r="F9" s="394" t="s">
        <v>80</v>
      </c>
      <c r="G9" s="394" t="s">
        <v>84</v>
      </c>
      <c r="H9" s="393" t="s">
        <v>7</v>
      </c>
      <c r="I9" s="395" t="s">
        <v>76</v>
      </c>
      <c r="J9" s="396" t="s">
        <v>91</v>
      </c>
      <c r="K9" s="396">
        <v>2017</v>
      </c>
      <c r="L9" s="396">
        <v>2018</v>
      </c>
      <c r="M9" s="397">
        <v>2019</v>
      </c>
      <c r="N9" s="396">
        <v>2020</v>
      </c>
      <c r="O9" s="398">
        <v>2021</v>
      </c>
      <c r="P9" s="399"/>
      <c r="AA9" s="57"/>
    </row>
    <row r="10" spans="2:27" ht="33.75" customHeight="1" x14ac:dyDescent="0.25">
      <c r="B10" s="400">
        <v>1</v>
      </c>
      <c r="C10" s="401" t="s">
        <v>32</v>
      </c>
      <c r="D10" s="402" t="s">
        <v>82</v>
      </c>
      <c r="E10" s="403">
        <v>0.2</v>
      </c>
      <c r="F10" s="404">
        <v>1</v>
      </c>
      <c r="G10" s="405"/>
      <c r="H10" s="406" t="s">
        <v>8</v>
      </c>
      <c r="I10" s="407">
        <f>SUM(I11:I14)</f>
        <v>0.89999999999999991</v>
      </c>
      <c r="J10" s="408">
        <f>E10*F10*J8</f>
        <v>3</v>
      </c>
      <c r="K10" s="409"/>
      <c r="L10" s="409"/>
      <c r="M10" s="409"/>
      <c r="N10" s="409"/>
      <c r="O10" s="409"/>
      <c r="P10" s="410"/>
      <c r="AA10" s="73"/>
    </row>
    <row r="11" spans="2:27" ht="20.25" customHeight="1" x14ac:dyDescent="0.2">
      <c r="B11" s="411"/>
      <c r="C11" s="412"/>
      <c r="D11" s="413" t="s">
        <v>63</v>
      </c>
      <c r="E11" s="414"/>
      <c r="F11" s="415">
        <v>0.15</v>
      </c>
      <c r="G11" s="416"/>
      <c r="H11" s="417"/>
      <c r="I11" s="418">
        <v>0.2</v>
      </c>
      <c r="J11" s="419">
        <f>E10*F11*J8</f>
        <v>0.44999999999999996</v>
      </c>
      <c r="K11" s="420">
        <f>IF(K$7&gt;'Data (Section A-H)'!E9,0,IFERROR((MIN('Data (Section A-H)'!E61/($I$11*'Data (Section A-H)'!E9)*$J$11,$J$11*2)),0))</f>
        <v>0</v>
      </c>
      <c r="L11" s="420">
        <f>IF(L$7&gt;'Data (Section A-H)'!F9,0,IFERROR((MIN('Data (Section A-H)'!F61/($I$11*'Data (Section A-H)'!F9)*$J$11,$J$11*2)),0))</f>
        <v>0</v>
      </c>
      <c r="M11" s="420">
        <f>IF(M$7&gt;'Data (Section A-H)'!G9,0,IFERROR((MIN('Data (Section A-H)'!G61/($I$11*'Data (Section A-H)'!G9)*$J$11,$J$11*2)),0))</f>
        <v>0</v>
      </c>
      <c r="N11" s="420">
        <f>IF(N$7&gt;'Data (Section A-H)'!H9,0,IFERROR((MIN('Data (Section A-H)'!H61/($I$11*'Data (Section A-H)'!H9)*$J$11,$J$11*2)),0))</f>
        <v>0</v>
      </c>
      <c r="O11" s="420">
        <f>IF(O$7&gt;'Data (Section A-H)'!I9,0,IFERROR((MIN('Data (Section A-H)'!I61/($I$11*'Data (Section A-H)'!I9)*$J$11,$J$11*2)),0))</f>
        <v>0</v>
      </c>
      <c r="P11" s="420">
        <f t="shared" ref="P11:P17" si="0">AVERAGE(K11:O11)</f>
        <v>0</v>
      </c>
    </row>
    <row r="12" spans="2:27" ht="20.25" customHeight="1" x14ac:dyDescent="0.2">
      <c r="B12" s="411"/>
      <c r="C12" s="412"/>
      <c r="D12" s="413" t="s">
        <v>62</v>
      </c>
      <c r="E12" s="414"/>
      <c r="F12" s="415">
        <v>0.35</v>
      </c>
      <c r="G12" s="416"/>
      <c r="H12" s="417"/>
      <c r="I12" s="418">
        <v>0.3</v>
      </c>
      <c r="J12" s="419">
        <f>E10*F12*J8</f>
        <v>1.0499999999999998</v>
      </c>
      <c r="K12" s="420">
        <f>IF(K$7&gt;'Data (Section A-H)'!E9,0,IFERROR((MIN('Data (Section A-H)'!E62/($I$12*'Data (Section A-H)'!E9)*$J$12,$J$12*2)),0))</f>
        <v>0</v>
      </c>
      <c r="L12" s="420">
        <f>IF(L$7&gt;'Data (Section A-H)'!F9,0,IFERROR((MIN('Data (Section A-H)'!F62/($I$12*'Data (Section A-H)'!F9)*$J$12,$J$12*2)),0))</f>
        <v>0</v>
      </c>
      <c r="M12" s="420">
        <f>IF(M$7&gt;'Data (Section A-H)'!G9,0,IFERROR((MIN('Data (Section A-H)'!G62/($I$12*'Data (Section A-H)'!G9)*$J$12,$J$12*2)),0))</f>
        <v>0</v>
      </c>
      <c r="N12" s="420">
        <f>IF(N$7&gt;'Data (Section A-H)'!H9,0,IFERROR((MIN('Data (Section A-H)'!H62/($I$12*'Data (Section A-H)'!H9)*$J$12,$J$12*2)),0))</f>
        <v>0</v>
      </c>
      <c r="O12" s="420">
        <f>IF(O$7&gt;'Data (Section A-H)'!I9,0,IFERROR((MIN('Data (Section A-H)'!I62/($I$12*'Data (Section A-H)'!I9)*$J$12,$J$12*2)),0))</f>
        <v>0</v>
      </c>
      <c r="P12" s="420">
        <f t="shared" si="0"/>
        <v>0</v>
      </c>
    </row>
    <row r="13" spans="2:27" ht="20.25" customHeight="1" x14ac:dyDescent="0.2">
      <c r="B13" s="411"/>
      <c r="C13" s="412"/>
      <c r="D13" s="413" t="s">
        <v>83</v>
      </c>
      <c r="E13" s="414"/>
      <c r="F13" s="415">
        <v>0.2</v>
      </c>
      <c r="G13" s="416"/>
      <c r="H13" s="417"/>
      <c r="I13" s="418">
        <v>0.2</v>
      </c>
      <c r="J13" s="419">
        <f>E10*F13*J8</f>
        <v>0.60000000000000009</v>
      </c>
      <c r="K13" s="420">
        <f>IF(K$7&gt;'Data (Section A-H)'!E9,0,IFERROR((MIN('Data (Section A-H)'!E63/($I$13*'Data (Section A-H)'!E9)*$J$13,$J$13*2)),0))</f>
        <v>0</v>
      </c>
      <c r="L13" s="420">
        <f>IF(L$7&gt;'Data (Section A-H)'!F9,0,IFERROR((MIN('Data (Section A-H)'!F63/($I$13*'Data (Section A-H)'!F9)*$J$13,$J$13*2)),0))</f>
        <v>0</v>
      </c>
      <c r="M13" s="420">
        <f>IF(M$7&gt;'Data (Section A-H)'!G9,0,IFERROR((MIN('Data (Section A-H)'!G63/($I$13*'Data (Section A-H)'!G9)*$J$13,$J$13*2)),0))</f>
        <v>0</v>
      </c>
      <c r="N13" s="420">
        <f>IF(N$7&gt;'Data (Section A-H)'!H9,0,IFERROR((MIN('Data (Section A-H)'!H63/($I$13*'Data (Section A-H)'!H9)*$J$13,$J$13*2)),0))</f>
        <v>0</v>
      </c>
      <c r="O13" s="420">
        <f>IF(O$7&gt;'Data (Section A-H)'!I9,0,IFERROR((MIN('Data (Section A-H)'!I63/($I$13*'Data (Section A-H)'!I9)*$J$13,$J$13*2)),0))</f>
        <v>0</v>
      </c>
      <c r="P13" s="420">
        <f t="shared" si="0"/>
        <v>0</v>
      </c>
    </row>
    <row r="14" spans="2:27" ht="20.25" customHeight="1" x14ac:dyDescent="0.2">
      <c r="B14" s="411"/>
      <c r="C14" s="412"/>
      <c r="D14" s="421" t="s">
        <v>67</v>
      </c>
      <c r="E14" s="414"/>
      <c r="F14" s="416">
        <v>0.3</v>
      </c>
      <c r="G14" s="416"/>
      <c r="H14" s="417"/>
      <c r="I14" s="422">
        <v>0.2</v>
      </c>
      <c r="J14" s="423">
        <f>E10*F14*J8</f>
        <v>0.89999999999999991</v>
      </c>
      <c r="K14" s="424">
        <f>IF(K$7&gt;'Data (Section A-H)'!E9,0,IFERROR((MIN('Data (Section A-H)'!E64/($I$14*'Data (Section A-H)'!E9)*$J$14,$J$14*2)),0))</f>
        <v>0</v>
      </c>
      <c r="L14" s="424">
        <f>IF(L$7&gt;'Data (Section A-H)'!F9,0,IFERROR((MIN('Data (Section A-H)'!F64/($I$14*'Data (Section A-H)'!F9)*$J$14,$J$14*2)),0))</f>
        <v>0</v>
      </c>
      <c r="M14" s="424">
        <f>IF(M$7&gt;'Data (Section A-H)'!G9,0,IFERROR((MIN('Data (Section A-H)'!G64/($I$14*'Data (Section A-H)'!G9)*$J$14,$J$14*2)),0))</f>
        <v>0</v>
      </c>
      <c r="N14" s="424">
        <f>IF(N$7&gt;'Data (Section A-H)'!H9,0,IFERROR((MIN('Data (Section A-H)'!H64/($I$14*'Data (Section A-H)'!H9)*$J$14,$J$14*2)),0))</f>
        <v>0</v>
      </c>
      <c r="O14" s="424">
        <f>IF(O$7&gt;'Data (Section A-H)'!I9,0,IFERROR((MIN('Data (Section A-H)'!I64/($I$14*'Data (Section A-H)'!I9)*$J$14,$J$14*2)),0))</f>
        <v>0</v>
      </c>
      <c r="P14" s="424">
        <f t="shared" si="0"/>
        <v>0</v>
      </c>
    </row>
    <row r="15" spans="2:27" ht="54" customHeight="1" thickBot="1" x14ac:dyDescent="0.25">
      <c r="B15" s="411"/>
      <c r="C15" s="412"/>
      <c r="D15" s="425" t="s">
        <v>237</v>
      </c>
      <c r="E15" s="426">
        <v>0.2</v>
      </c>
      <c r="F15" s="427">
        <v>1</v>
      </c>
      <c r="G15" s="427"/>
      <c r="H15" s="428" t="s">
        <v>8</v>
      </c>
      <c r="I15" s="429">
        <v>0.9</v>
      </c>
      <c r="J15" s="430">
        <f>E15*F15*J8</f>
        <v>3</v>
      </c>
      <c r="K15" s="431">
        <f>IF('Data (Section A-H)'!E65&gt;'Data (Section A-H)'!L$14,0,IFERROR((MIN('Data (Section A-H)'!E65/($I$15*'Data (Section A-H)'!L$14)*$J$15,$J$15*2)),0))</f>
        <v>0</v>
      </c>
      <c r="L15" s="431">
        <f>IF('Data (Section A-H)'!F65&gt;'Data (Section A-H)'!M$14,0,IFERROR((MIN('Data (Section A-H)'!F65/($I$15*'Data (Section A-H)'!M$14)*$J$15,$J$15*2)),0))</f>
        <v>0</v>
      </c>
      <c r="M15" s="431">
        <f>IF('Data (Section A-H)'!G65&gt;'Data (Section A-H)'!N$14,0,IFERROR((MIN('Data (Section A-H)'!G65/($I$15*'Data (Section A-H)'!N$14)*$J$15,$J$15*2)),0))</f>
        <v>0</v>
      </c>
      <c r="N15" s="431">
        <f>IF('Data (Section A-H)'!H65&gt;'Data (Section A-H)'!O$14,0,IFERROR((MIN('Data (Section A-H)'!H65/($I$15*'Data (Section A-H)'!O$14)*$J$15,$J$15*2)),0))</f>
        <v>0</v>
      </c>
      <c r="O15" s="431">
        <f>IF('Data (Section A-H)'!I65&gt;'Data (Section A-H)'!P$14,0,IFERROR((MIN('Data (Section A-H)'!I65/($I$15*'Data (Section A-H)'!P$14)*$J$15,$J$15*2)),0))</f>
        <v>0</v>
      </c>
      <c r="P15" s="431">
        <f>AVERAGE(K15:O15)</f>
        <v>0</v>
      </c>
      <c r="Q15" s="56"/>
    </row>
    <row r="16" spans="2:27" ht="33" customHeight="1" x14ac:dyDescent="0.2">
      <c r="B16" s="400">
        <v>2</v>
      </c>
      <c r="C16" s="432" t="s">
        <v>81</v>
      </c>
      <c r="D16" s="433" t="s">
        <v>255</v>
      </c>
      <c r="E16" s="434">
        <v>0.1</v>
      </c>
      <c r="F16" s="435">
        <v>0.8</v>
      </c>
      <c r="G16" s="416"/>
      <c r="H16" s="436" t="s">
        <v>8</v>
      </c>
      <c r="I16" s="437">
        <v>0.7</v>
      </c>
      <c r="J16" s="438">
        <f>E16*F16*J8</f>
        <v>1.2000000000000002</v>
      </c>
      <c r="K16" s="439">
        <f>IF(K$6&gt;'Data (Section A-H)'!E9,0,IFERROR((MIN('Data (Section A-H)'!E66/($I$16*'Data (Section A-H)'!E9)*$J$16,$J$16*2)),0))</f>
        <v>0</v>
      </c>
      <c r="L16" s="439">
        <f>IF(L$6&gt;'Data (Section A-H)'!F9,0,IFERROR((MIN('Data (Section A-H)'!F66/($I$16*'Data (Section A-H)'!F9)*$J$16,$J$16*2)),0))</f>
        <v>0</v>
      </c>
      <c r="M16" s="439">
        <f>IF(M$6&gt;'Data (Section A-H)'!G9,0,IFERROR((MIN('Data (Section A-H)'!G66/($I$16*'Data (Section A-H)'!G9)*$J$16,$J$16*2)),0))</f>
        <v>0</v>
      </c>
      <c r="N16" s="439">
        <f>IF(N$6&gt;'Data (Section A-H)'!H9,0,IFERROR((MIN('Data (Section A-H)'!H66/($I$16*'Data (Section A-H)'!H9)*$J$16,$J$16*2)),0))</f>
        <v>0</v>
      </c>
      <c r="O16" s="439">
        <f>IF(O$6&gt;'Data (Section A-H)'!I9,0,IFERROR((MIN('Data (Section A-H)'!I66/($I$16*'Data (Section A-H)'!I9)*$J$16,$J$16*2)),0))</f>
        <v>0</v>
      </c>
      <c r="P16" s="440">
        <f t="shared" si="0"/>
        <v>0</v>
      </c>
    </row>
    <row r="17" spans="2:28" ht="48" customHeight="1" thickBot="1" x14ac:dyDescent="0.25">
      <c r="B17" s="441"/>
      <c r="C17" s="442"/>
      <c r="D17" s="443" t="s">
        <v>256</v>
      </c>
      <c r="E17" s="444"/>
      <c r="F17" s="427">
        <v>0.2</v>
      </c>
      <c r="G17" s="445"/>
      <c r="H17" s="446" t="s">
        <v>8</v>
      </c>
      <c r="I17" s="447">
        <v>0.2</v>
      </c>
      <c r="J17" s="448">
        <f>E16*F17*J8</f>
        <v>0.30000000000000004</v>
      </c>
      <c r="K17" s="449">
        <f>IF(K$6&gt;'Data (Section A-H)'!E9,0,IFERROR((MIN('Data (Section A-H)'!E67/($I$17*'Data (Section A-H)'!E9)*$J$17,$J$17*2)),0))</f>
        <v>0</v>
      </c>
      <c r="L17" s="449">
        <f>IF(L$6&gt;'Data (Section A-H)'!F9,0,IFERROR((MIN('Data (Section A-H)'!F67/($I$17*'Data (Section A-H)'!F9)*$J$17,$J$17*2)),0))</f>
        <v>0</v>
      </c>
      <c r="M17" s="449">
        <f>IF(M$6&gt;'Data (Section A-H)'!G9,0,IFERROR((MIN('Data (Section A-H)'!G67/($I$17*'Data (Section A-H)'!G9)*$J$17,$J$17*2)),0))</f>
        <v>0</v>
      </c>
      <c r="N17" s="449">
        <f>IF(N$6&gt;'Data (Section A-H)'!H9,0,IFERROR((MIN('Data (Section A-H)'!H67/($I$17*'Data (Section A-H)'!H9)*$J$17,$J$17*2)),0))</f>
        <v>0</v>
      </c>
      <c r="O17" s="449">
        <f>IF(O$6&gt;'Data (Section A-H)'!I9,0,IFERROR((MIN('Data (Section A-H)'!I67/($I$17*'Data (Section A-H)'!I9)*$J$17,$J$17*2)),0))</f>
        <v>0</v>
      </c>
      <c r="P17" s="431">
        <f t="shared" si="0"/>
        <v>0</v>
      </c>
    </row>
    <row r="18" spans="2:28" ht="20.25" customHeight="1" x14ac:dyDescent="0.2">
      <c r="B18" s="450">
        <v>3</v>
      </c>
      <c r="C18" s="412" t="s">
        <v>276</v>
      </c>
      <c r="D18" s="451" t="s">
        <v>92</v>
      </c>
      <c r="E18" s="434">
        <v>0.2</v>
      </c>
      <c r="F18" s="435">
        <v>1</v>
      </c>
      <c r="G18" s="416"/>
      <c r="H18" s="452" t="s">
        <v>8</v>
      </c>
      <c r="I18" s="453">
        <v>1</v>
      </c>
      <c r="J18" s="408">
        <f>E18*F18*J8</f>
        <v>3</v>
      </c>
      <c r="K18" s="409"/>
      <c r="L18" s="454"/>
      <c r="M18" s="409"/>
      <c r="N18" s="454"/>
      <c r="O18" s="409"/>
      <c r="P18" s="455"/>
    </row>
    <row r="19" spans="2:28" s="47" customFormat="1" ht="20.25" customHeight="1" x14ac:dyDescent="0.2">
      <c r="B19" s="456"/>
      <c r="C19" s="412"/>
      <c r="D19" s="457" t="s">
        <v>285</v>
      </c>
      <c r="E19" s="414"/>
      <c r="F19" s="458">
        <v>0.5</v>
      </c>
      <c r="G19" s="459"/>
      <c r="H19" s="452"/>
      <c r="I19" s="460">
        <v>60</v>
      </c>
      <c r="J19" s="419">
        <f>E18*F19*J8</f>
        <v>1.5</v>
      </c>
      <c r="K19" s="420">
        <f>IF(('Data (Section A-H)'!E69+'Data (Section A-H)'!E70)&gt;'Data (Section A-H)'!E9,0,IFERROR($J$19-V19*$J$19/25,0))</f>
        <v>0</v>
      </c>
      <c r="L19" s="420">
        <f>IF(('Data (Section A-H)'!F69+'Data (Section A-H)'!F70)&gt;'Data (Section A-H)'!F9,0,IFERROR($J$19-W19*$J$19/25,0))</f>
        <v>0</v>
      </c>
      <c r="M19" s="420">
        <f>IF(('Data (Section A-H)'!G69+'Data (Section A-H)'!G70)&gt;'Data (Section A-H)'!G9,0,IFERROR($J$19-X19*$J$19/25,0))</f>
        <v>0</v>
      </c>
      <c r="N19" s="420">
        <f>IF(('Data (Section A-H)'!H69+'Data (Section A-H)'!H70)&gt;'Data (Section A-H)'!H9,0,IFERROR($J$19-Y19*$J$19/25,0))</f>
        <v>0</v>
      </c>
      <c r="O19" s="420">
        <f>IF(('Data (Section A-H)'!I69+'Data (Section A-H)'!I70)&gt;'Data (Section A-H)'!I9,0,IFERROR($J$19-Z19*$J$19/25,0))</f>
        <v>0</v>
      </c>
      <c r="P19" s="420">
        <f>AVERAGE(K19:O19)</f>
        <v>0</v>
      </c>
      <c r="Q19" s="77" t="e">
        <f>'Data (Section A-H)'!E69/'Data (Section A-H)'!E9*100</f>
        <v>#DIV/0!</v>
      </c>
      <c r="R19" s="78" t="e">
        <f>'Data (Section A-H)'!F69/'Data (Section A-H)'!F9*100</f>
        <v>#DIV/0!</v>
      </c>
      <c r="S19" s="78" t="e">
        <f>'Data (Section A-H)'!G69/'Data (Section A-H)'!G9*100</f>
        <v>#DIV/0!</v>
      </c>
      <c r="T19" s="78" t="e">
        <f>'Data (Section A-H)'!H69/'Data (Section A-H)'!H9*100</f>
        <v>#DIV/0!</v>
      </c>
      <c r="U19" s="78" t="e">
        <f>'Data (Section A-H)'!I69/'Data (Section A-H)'!I9*100</f>
        <v>#DIV/0!</v>
      </c>
      <c r="V19" s="78" t="e">
        <f>+MIN(25,ABS(Q19-$I$19))</f>
        <v>#DIV/0!</v>
      </c>
      <c r="W19" s="78" t="e">
        <f>+MIN(25,ABS(R19-$I$19))</f>
        <v>#DIV/0!</v>
      </c>
      <c r="X19" s="78" t="e">
        <f>+MIN(25,ABS(S19-$I$19))</f>
        <v>#DIV/0!</v>
      </c>
      <c r="Y19" s="78" t="e">
        <f>+MIN(25,ABS(T19-$I$19))</f>
        <v>#DIV/0!</v>
      </c>
      <c r="Z19" s="78" t="e">
        <f>+MIN(25,ABS(U19-$I$19))</f>
        <v>#DIV/0!</v>
      </c>
    </row>
    <row r="20" spans="2:28" s="47" customFormat="1" ht="30" customHeight="1" thickBot="1" x14ac:dyDescent="0.25">
      <c r="B20" s="461"/>
      <c r="C20" s="462"/>
      <c r="D20" s="463" t="s">
        <v>286</v>
      </c>
      <c r="E20" s="444"/>
      <c r="F20" s="464">
        <v>0.5</v>
      </c>
      <c r="G20" s="464"/>
      <c r="H20" s="465"/>
      <c r="I20" s="466">
        <v>40</v>
      </c>
      <c r="J20" s="467">
        <f>E18*F20*J8</f>
        <v>1.5</v>
      </c>
      <c r="K20" s="420">
        <f>IFERROR($J$20-V20*$J$20/25,0)</f>
        <v>0</v>
      </c>
      <c r="L20" s="420">
        <f>IFERROR($J$20-W20*$J$20/25,0)</f>
        <v>0</v>
      </c>
      <c r="M20" s="420">
        <f>IFERROR($J$20-X20*$J$20/25,0)</f>
        <v>0</v>
      </c>
      <c r="N20" s="420">
        <f>IFERROR($J$20-Y20*$J$20/25,0)</f>
        <v>0</v>
      </c>
      <c r="O20" s="420">
        <f>IFERROR($J$20-Z20*$J$20/25,0)</f>
        <v>0</v>
      </c>
      <c r="P20" s="420">
        <f>AVERAGE(K20:O20)</f>
        <v>0</v>
      </c>
      <c r="Q20" s="77" t="e">
        <f>'Data (Section A-H)'!E70/'Data (Section A-H)'!E9*100</f>
        <v>#DIV/0!</v>
      </c>
      <c r="R20" s="78" t="e">
        <f>'Data (Section A-H)'!F70/'Data (Section A-H)'!F9*100</f>
        <v>#DIV/0!</v>
      </c>
      <c r="S20" s="78" t="e">
        <f>'Data (Section A-H)'!G70/'Data (Section A-H)'!G9*100</f>
        <v>#DIV/0!</v>
      </c>
      <c r="T20" s="78" t="e">
        <f>'Data (Section A-H)'!H70/'Data (Section A-H)'!H9*100</f>
        <v>#DIV/0!</v>
      </c>
      <c r="U20" s="78" t="e">
        <f>'Data (Section A-H)'!I70/'Data (Section A-H)'!I9*100</f>
        <v>#DIV/0!</v>
      </c>
      <c r="V20" s="78" t="e">
        <f>MIN(25,ABS(Q20-$I$20))</f>
        <v>#DIV/0!</v>
      </c>
      <c r="W20" s="78" t="e">
        <f>MIN(25,ABS(R20-$I$20))</f>
        <v>#DIV/0!</v>
      </c>
      <c r="X20" s="78" t="e">
        <f>MIN(25,ABS(S20-$I$20))</f>
        <v>#DIV/0!</v>
      </c>
      <c r="Y20" s="78" t="e">
        <f>MIN(25,ABS(T20-$I$20))</f>
        <v>#DIV/0!</v>
      </c>
      <c r="Z20" s="78" t="e">
        <f>MIN(25,ABS(U20-$I$20))</f>
        <v>#DIV/0!</v>
      </c>
      <c r="AA20" s="69"/>
      <c r="AB20" s="69"/>
    </row>
    <row r="21" spans="2:28" s="47" customFormat="1" ht="63" customHeight="1" x14ac:dyDescent="0.2">
      <c r="B21" s="468">
        <v>4</v>
      </c>
      <c r="C21" s="469" t="s">
        <v>85</v>
      </c>
      <c r="D21" s="402" t="s">
        <v>257</v>
      </c>
      <c r="E21" s="470">
        <v>0.3</v>
      </c>
      <c r="F21" s="471">
        <v>0.5</v>
      </c>
      <c r="G21" s="472"/>
      <c r="H21" s="473" t="s">
        <v>216</v>
      </c>
      <c r="I21" s="474">
        <v>2</v>
      </c>
      <c r="J21" s="475">
        <f>E21*F21*J8</f>
        <v>2.25</v>
      </c>
      <c r="K21" s="420">
        <f>IFERROR(('Data (Section A-H)'!E71/$I$21*$J$21),0)</f>
        <v>0</v>
      </c>
      <c r="L21" s="420">
        <f>IFERROR(('Data (Section A-H)'!F71/$I$21*$J$21),0)</f>
        <v>0</v>
      </c>
      <c r="M21" s="420">
        <f>IFERROR(('Data (Section A-H)'!G71/$I$21*$J$21),0)</f>
        <v>0</v>
      </c>
      <c r="N21" s="420">
        <f>IFERROR(('Data (Section A-H)'!H71/$I$21*$J$21),0)</f>
        <v>0</v>
      </c>
      <c r="O21" s="420">
        <f>IFERROR(('Data (Section A-H)'!I71/$I$21*$J$21),0)</f>
        <v>0</v>
      </c>
      <c r="P21" s="420">
        <f>IF(AVERAGE(K21:O21)&gt;=J21*2,J21*2,AVERAGE(K21:O21))</f>
        <v>0</v>
      </c>
      <c r="AA21" s="58"/>
      <c r="AB21" s="58"/>
    </row>
    <row r="22" spans="2:28" s="47" customFormat="1" ht="63" customHeight="1" thickBot="1" x14ac:dyDescent="0.25">
      <c r="B22" s="476"/>
      <c r="C22" s="477"/>
      <c r="D22" s="425" t="s">
        <v>258</v>
      </c>
      <c r="E22" s="478"/>
      <c r="F22" s="428">
        <v>0.5</v>
      </c>
      <c r="G22" s="464"/>
      <c r="H22" s="479" t="s">
        <v>216</v>
      </c>
      <c r="I22" s="480">
        <v>2</v>
      </c>
      <c r="J22" s="481">
        <f>E21*F22*J8</f>
        <v>2.25</v>
      </c>
      <c r="K22" s="420">
        <f>IFERROR(('Data (Section A-H)'!E72/$I$22*$J$22),0)</f>
        <v>0</v>
      </c>
      <c r="L22" s="420">
        <f>IFERROR(('Data (Section A-H)'!F72/$I$22*$J$22),0)</f>
        <v>0</v>
      </c>
      <c r="M22" s="420">
        <f>IFERROR(('Data (Section A-H)'!G72/$I$22*$J$22),0)</f>
        <v>0</v>
      </c>
      <c r="N22" s="420">
        <f>IFERROR(('Data (Section A-H)'!H72/$I$22*$J$22),0)</f>
        <v>0</v>
      </c>
      <c r="O22" s="420">
        <f>IFERROR(('Data (Section A-H)'!I72/$I$22*$J$22),0)</f>
        <v>0</v>
      </c>
      <c r="P22" s="420">
        <f>IF(AVERAGE(K22:O22)&gt;=J22*2,J22*2,AVERAGE(K22:O22))</f>
        <v>0</v>
      </c>
      <c r="AB22" s="58"/>
    </row>
    <row r="23" spans="2:28" s="47" customFormat="1" ht="30" customHeight="1" thickBot="1" x14ac:dyDescent="0.25">
      <c r="B23" s="482" t="s">
        <v>33</v>
      </c>
      <c r="C23" s="483"/>
      <c r="D23" s="483"/>
      <c r="E23" s="484">
        <f>SUM(E10:E22)</f>
        <v>1</v>
      </c>
      <c r="F23" s="485"/>
      <c r="G23" s="485"/>
      <c r="H23" s="485"/>
      <c r="I23" s="486"/>
      <c r="J23" s="487">
        <f>J10+J15+J16+J17+J18+J21+J22</f>
        <v>15</v>
      </c>
      <c r="K23" s="488">
        <f t="shared" ref="K23:P23" si="1">SUM(K11:K22)</f>
        <v>0</v>
      </c>
      <c r="L23" s="489">
        <f t="shared" si="1"/>
        <v>0</v>
      </c>
      <c r="M23" s="489">
        <f t="shared" si="1"/>
        <v>0</v>
      </c>
      <c r="N23" s="489">
        <f t="shared" si="1"/>
        <v>0</v>
      </c>
      <c r="O23" s="489">
        <f t="shared" si="1"/>
        <v>0</v>
      </c>
      <c r="P23" s="488">
        <f t="shared" si="1"/>
        <v>0</v>
      </c>
    </row>
    <row r="24" spans="2:28" x14ac:dyDescent="0.2">
      <c r="B24" s="112"/>
      <c r="C24" s="111"/>
      <c r="D24" s="111"/>
      <c r="E24" s="111"/>
      <c r="F24" s="111"/>
      <c r="G24" s="111"/>
      <c r="H24" s="113"/>
      <c r="I24" s="112"/>
      <c r="J24" s="380"/>
      <c r="K24" s="381"/>
      <c r="L24" s="381"/>
      <c r="M24" s="381"/>
      <c r="N24" s="381"/>
      <c r="O24" s="381"/>
      <c r="P24" s="381"/>
    </row>
    <row r="25" spans="2:28" x14ac:dyDescent="0.2">
      <c r="B25" s="112"/>
      <c r="C25" s="111"/>
      <c r="D25" s="111"/>
      <c r="E25" s="111"/>
      <c r="F25" s="111"/>
      <c r="G25" s="111"/>
      <c r="H25" s="113"/>
      <c r="I25" s="112"/>
      <c r="J25" s="380"/>
      <c r="K25" s="381"/>
      <c r="L25" s="381"/>
      <c r="M25" s="381"/>
      <c r="N25" s="381"/>
      <c r="O25" s="381"/>
      <c r="P25" s="381"/>
    </row>
    <row r="26" spans="2:28" s="51" customFormat="1" ht="16.5" thickBot="1" x14ac:dyDescent="0.3">
      <c r="B26" s="114"/>
      <c r="C26" s="135"/>
      <c r="D26" s="135"/>
      <c r="E26" s="135"/>
      <c r="F26" s="135"/>
      <c r="G26" s="135"/>
      <c r="H26" s="135"/>
      <c r="I26" s="135"/>
      <c r="J26" s="135"/>
      <c r="K26" s="490"/>
      <c r="L26" s="490"/>
      <c r="M26" s="490"/>
      <c r="N26" s="490"/>
      <c r="O26" s="490"/>
      <c r="P26" s="490"/>
    </row>
    <row r="27" spans="2:28" s="51" customFormat="1" ht="36" customHeight="1" thickBot="1" x14ac:dyDescent="0.3">
      <c r="B27" s="386" t="s">
        <v>209</v>
      </c>
      <c r="C27" s="491"/>
      <c r="D27" s="491"/>
      <c r="E27" s="491"/>
      <c r="F27" s="491"/>
      <c r="G27" s="491"/>
      <c r="H27" s="491"/>
      <c r="I27" s="492"/>
      <c r="J27" s="493">
        <v>35</v>
      </c>
      <c r="K27" s="386" t="s">
        <v>227</v>
      </c>
      <c r="L27" s="491"/>
      <c r="M27" s="491"/>
      <c r="N27" s="491"/>
      <c r="O27" s="492"/>
      <c r="P27" s="391" t="s">
        <v>143</v>
      </c>
    </row>
    <row r="28" spans="2:28" s="50" customFormat="1" ht="58.5" customHeight="1" thickBot="1" x14ac:dyDescent="0.3">
      <c r="B28" s="392" t="s">
        <v>28</v>
      </c>
      <c r="C28" s="393" t="s">
        <v>29</v>
      </c>
      <c r="D28" s="394" t="s">
        <v>30</v>
      </c>
      <c r="E28" s="394" t="s">
        <v>31</v>
      </c>
      <c r="F28" s="394" t="s">
        <v>80</v>
      </c>
      <c r="G28" s="394" t="s">
        <v>84</v>
      </c>
      <c r="H28" s="393" t="s">
        <v>7</v>
      </c>
      <c r="I28" s="395" t="s">
        <v>76</v>
      </c>
      <c r="J28" s="396" t="s">
        <v>91</v>
      </c>
      <c r="K28" s="396">
        <v>2017</v>
      </c>
      <c r="L28" s="396">
        <v>2018</v>
      </c>
      <c r="M28" s="397">
        <v>2019</v>
      </c>
      <c r="N28" s="396">
        <v>2020</v>
      </c>
      <c r="O28" s="398">
        <v>2021</v>
      </c>
      <c r="P28" s="399"/>
      <c r="AA28" s="72"/>
    </row>
    <row r="29" spans="2:28" s="48" customFormat="1" ht="20.25" customHeight="1" x14ac:dyDescent="0.25">
      <c r="B29" s="468">
        <v>1</v>
      </c>
      <c r="C29" s="469" t="s">
        <v>2</v>
      </c>
      <c r="D29" s="494" t="s">
        <v>90</v>
      </c>
      <c r="E29" s="470">
        <v>0.7</v>
      </c>
      <c r="F29" s="495"/>
      <c r="G29" s="495"/>
      <c r="H29" s="496"/>
      <c r="I29" s="496"/>
      <c r="J29" s="497"/>
      <c r="K29" s="497"/>
      <c r="L29" s="498"/>
      <c r="M29" s="497"/>
      <c r="N29" s="498"/>
      <c r="O29" s="497"/>
      <c r="P29" s="497"/>
    </row>
    <row r="30" spans="2:28" s="47" customFormat="1" ht="64.5" customHeight="1" x14ac:dyDescent="0.2">
      <c r="B30" s="499"/>
      <c r="C30" s="500"/>
      <c r="D30" s="451" t="s">
        <v>162</v>
      </c>
      <c r="E30" s="501"/>
      <c r="F30" s="502">
        <v>0.5</v>
      </c>
      <c r="G30" s="503">
        <v>0.5</v>
      </c>
      <c r="H30" s="504" t="s">
        <v>233</v>
      </c>
      <c r="I30" s="505" t="s">
        <v>232</v>
      </c>
      <c r="J30" s="506">
        <f>E29*F30*G30*J27</f>
        <v>6.125</v>
      </c>
      <c r="K30" s="507">
        <f>IFERROR(('Data (Section A-H)'!E79/(('Data (Section A-H)'!E$22*'Data (Section A-H)'!$K$22+'Data (Section A-H)'!E$23*'Data (Section A-H)'!$K$23))*$J$30),0)</f>
        <v>0</v>
      </c>
      <c r="L30" s="507">
        <f>IFERROR(('Data (Section A-H)'!F79/(('Data (Section A-H)'!F$22*'Data (Section A-H)'!$K$22+'Data (Section A-H)'!F$23*'Data (Section A-H)'!$K$23))*$J$30),0)</f>
        <v>0</v>
      </c>
      <c r="M30" s="507">
        <f>IFERROR(('Data (Section A-H)'!G79/(('Data (Section A-H)'!G$22*'Data (Section A-H)'!$K$22+'Data (Section A-H)'!G$23*'Data (Section A-H)'!$K$23))*$J$30),0)</f>
        <v>0</v>
      </c>
      <c r="N30" s="507">
        <f>IFERROR(('Data (Section A-H)'!H79/(('Data (Section A-H)'!H$22*'Data (Section A-H)'!$K$22+'Data (Section A-H)'!H$23*'Data (Section A-H)'!$K$23))*$J$30),0)</f>
        <v>0</v>
      </c>
      <c r="O30" s="507">
        <f>IFERROR(('Data (Section A-H)'!I79/(('Data (Section A-H)'!I$22*'Data (Section A-H)'!$K$22+'Data (Section A-H)'!I$23*'Data (Section A-H)'!$K$23))*$J$30),0)</f>
        <v>0</v>
      </c>
      <c r="P30" s="507">
        <f>IFERROR((MIN('Data (Section A-H)'!J79/(('Data (Section A-H)'!K22*'Data (Section A-H)'!J22)+('Data (Section A-H)'!K23*'Data (Section A-H)'!J23))*$J$30,$J$30*2)),0)</f>
        <v>0</v>
      </c>
      <c r="Q30" s="48"/>
      <c r="AA30" s="69"/>
    </row>
    <row r="31" spans="2:28" s="47" customFormat="1" ht="90" customHeight="1" x14ac:dyDescent="0.2">
      <c r="B31" s="499"/>
      <c r="C31" s="500"/>
      <c r="D31" s="508" t="s">
        <v>163</v>
      </c>
      <c r="E31" s="501"/>
      <c r="F31" s="509"/>
      <c r="G31" s="503">
        <v>0.5</v>
      </c>
      <c r="H31" s="504" t="s">
        <v>217</v>
      </c>
      <c r="I31" s="437">
        <v>0.7</v>
      </c>
      <c r="J31" s="510">
        <f>E29*F30*G31*J27</f>
        <v>6.125</v>
      </c>
      <c r="K31" s="420">
        <f>IFERROR((('Data (Section A-H)'!E80/($I$31*'Data (Section A-H)'!E82)*$J$31)),0)</f>
        <v>0</v>
      </c>
      <c r="L31" s="420">
        <f>IFERROR((('Data (Section A-H)'!F80/($I$31*'Data (Section A-H)'!F82)*$J$31)),0)</f>
        <v>0</v>
      </c>
      <c r="M31" s="420">
        <f>IFERROR((('Data (Section A-H)'!G80/($I$31*'Data (Section A-H)'!G82)*$J$31)),0)</f>
        <v>0</v>
      </c>
      <c r="N31" s="420">
        <f>IFERROR((('Data (Section A-H)'!H80/($I$31*'Data (Section A-H)'!H82)*$J$31)),0)</f>
        <v>0</v>
      </c>
      <c r="O31" s="420">
        <f>IFERROR((('Data (Section A-H)'!I80/($I$31*'Data (Section A-H)'!I82)*$J$31)),0)</f>
        <v>0</v>
      </c>
      <c r="P31" s="420">
        <f>IFERROR((MIN('Data (Section A-H)'!J80/($I$31*'Data (Section A-H)'!J82)*$J$31,$J$31*2)),0)</f>
        <v>0</v>
      </c>
    </row>
    <row r="32" spans="2:28" s="47" customFormat="1" ht="33.75" customHeight="1" x14ac:dyDescent="0.2">
      <c r="B32" s="499"/>
      <c r="C32" s="500"/>
      <c r="D32" s="451" t="s">
        <v>339</v>
      </c>
      <c r="E32" s="501"/>
      <c r="F32" s="511"/>
      <c r="G32" s="511"/>
      <c r="H32" s="512"/>
      <c r="I32" s="513"/>
      <c r="J32" s="514"/>
      <c r="K32" s="515"/>
      <c r="L32" s="516"/>
      <c r="M32" s="515"/>
      <c r="N32" s="516"/>
      <c r="O32" s="515"/>
      <c r="P32" s="515"/>
    </row>
    <row r="33" spans="2:27" s="47" customFormat="1" ht="40.5" customHeight="1" x14ac:dyDescent="0.2">
      <c r="B33" s="499"/>
      <c r="C33" s="500"/>
      <c r="D33" s="451" t="s">
        <v>287</v>
      </c>
      <c r="E33" s="501"/>
      <c r="F33" s="502">
        <v>0.3</v>
      </c>
      <c r="G33" s="517">
        <v>0.9</v>
      </c>
      <c r="H33" s="504" t="s">
        <v>9</v>
      </c>
      <c r="I33" s="505" t="s">
        <v>231</v>
      </c>
      <c r="J33" s="481">
        <f>E29*F33*G33*J27</f>
        <v>6.6150000000000002</v>
      </c>
      <c r="K33" s="420">
        <f>IFERROR(('Data (Section A-H)'!E82/('Data (Section A-H)'!E$22*'Data (Section A-H)'!$L$22+'Data (Section A-H)'!E$23*'Data (Section A-H)'!$L$23)*$J$33),0)</f>
        <v>0</v>
      </c>
      <c r="L33" s="420">
        <f>IFERROR(('Data (Section A-H)'!F82/('Data (Section A-H)'!F$22*'Data (Section A-H)'!$L$22+'Data (Section A-H)'!F$23*'Data (Section A-H)'!$L$23)*$J$33),0)</f>
        <v>0</v>
      </c>
      <c r="M33" s="420">
        <f>IFERROR(('Data (Section A-H)'!G82/('Data (Section A-H)'!G$22*'Data (Section A-H)'!$L$22+'Data (Section A-H)'!G$23*'Data (Section A-H)'!$L$23)*$J$33),0)</f>
        <v>0</v>
      </c>
      <c r="N33" s="420">
        <f>IFERROR(('Data (Section A-H)'!H82/('Data (Section A-H)'!H$22*'Data (Section A-H)'!$L$22+'Data (Section A-H)'!H$23*'Data (Section A-H)'!$L$23)*$J$33),0)</f>
        <v>0</v>
      </c>
      <c r="O33" s="420">
        <f>IFERROR(('Data (Section A-H)'!I82/('Data (Section A-H)'!I$22*'Data (Section A-H)'!$L$22+'Data (Section A-H)'!I$23*'Data (Section A-H)'!$L$23)*$J$33),0)</f>
        <v>0</v>
      </c>
      <c r="P33" s="518">
        <f>IFERROR((MIN('Data (Section A-H)'!J82/(('Data (Section A-H)'!L22*'Data (Section A-H)'!J22)+('Data (Section A-H)'!L23*'Data (Section A-H)'!J23))*$J$33,$J$33*2)),0)</f>
        <v>0</v>
      </c>
      <c r="AA33" s="69"/>
    </row>
    <row r="34" spans="2:27" s="47" customFormat="1" ht="20.25" customHeight="1" x14ac:dyDescent="0.2">
      <c r="B34" s="499"/>
      <c r="C34" s="500"/>
      <c r="D34" s="451" t="s">
        <v>164</v>
      </c>
      <c r="E34" s="501"/>
      <c r="F34" s="509"/>
      <c r="G34" s="517">
        <v>0.1</v>
      </c>
      <c r="H34" s="504" t="s">
        <v>9</v>
      </c>
      <c r="I34" s="519">
        <v>1</v>
      </c>
      <c r="J34" s="520">
        <f>E29*F33*G34*J27</f>
        <v>0.7350000000000001</v>
      </c>
      <c r="K34" s="420">
        <f>IFERROR(('Data (Section A-H)'!E83/($I$34*('Data (Section A-H)'!E9+'Data (Section A-H)'!E14))*$J$34),0)</f>
        <v>0</v>
      </c>
      <c r="L34" s="420">
        <f>IFERROR(('Data (Section A-H)'!F83/($I$34*('Data (Section A-H)'!F9+'Data (Section A-H)'!F14))*$J$34),0)</f>
        <v>0</v>
      </c>
      <c r="M34" s="420">
        <f>IFERROR(('Data (Section A-H)'!G83/($I$34*('Data (Section A-H)'!G9+'Data (Section A-H)'!G14))*$J$34),0)</f>
        <v>0</v>
      </c>
      <c r="N34" s="420">
        <f>IFERROR(('Data (Section A-H)'!H83/($I$34*('Data (Section A-H)'!H9+'Data (Section A-H)'!H14))*$J$34),0)</f>
        <v>0</v>
      </c>
      <c r="O34" s="420">
        <f>IFERROR(('Data (Section A-H)'!I83/($I$34*('Data (Section A-H)'!I9+'Data (Section A-H)'!I14))*$J$34),0)</f>
        <v>0</v>
      </c>
      <c r="P34" s="518">
        <f>IFERROR(MIN((('Data (Section A-H)'!J83/5)/(I34*('Data (Section A-H)'!$J$9+'Data (Section A-H)'!$J$14)/5))*J34,J34*2),0)</f>
        <v>0</v>
      </c>
    </row>
    <row r="35" spans="2:27" s="47" customFormat="1" ht="34.5" customHeight="1" x14ac:dyDescent="0.2">
      <c r="B35" s="499"/>
      <c r="C35" s="500"/>
      <c r="D35" s="451" t="s">
        <v>318</v>
      </c>
      <c r="E35" s="501"/>
      <c r="F35" s="459">
        <v>0.05</v>
      </c>
      <c r="G35" s="521" t="s">
        <v>6</v>
      </c>
      <c r="H35" s="504" t="s">
        <v>9</v>
      </c>
      <c r="I35" s="522">
        <v>1</v>
      </c>
      <c r="J35" s="520">
        <f>E29*F35*J27</f>
        <v>1.2249999999999999</v>
      </c>
      <c r="K35" s="420">
        <f>IFERROR(('Data (Section A-H)'!E84/($I$35*('Data (Section A-H)'!E9+'Data (Section A-H)'!E14))*$J$35),0)</f>
        <v>0</v>
      </c>
      <c r="L35" s="420">
        <f>IFERROR(('Data (Section A-H)'!F84/($I$35*('Data (Section A-H)'!F9+'Data (Section A-H)'!F14))*$J$35),0)</f>
        <v>0</v>
      </c>
      <c r="M35" s="420">
        <f>IFERROR(('Data (Section A-H)'!G84/($I$35*('Data (Section A-H)'!G9+'Data (Section A-H)'!G14))*$J$35),0)</f>
        <v>0</v>
      </c>
      <c r="N35" s="420">
        <f>IFERROR(('Data (Section A-H)'!H84/($I$35*('Data (Section A-H)'!H9+'Data (Section A-H)'!H14))*$J$35),0)</f>
        <v>0</v>
      </c>
      <c r="O35" s="420">
        <f>IFERROR(('Data (Section A-H)'!I84/($I$35*('Data (Section A-H)'!I9+'Data (Section A-H)'!I14))*$J$35),0)</f>
        <v>0</v>
      </c>
      <c r="P35" s="518">
        <f>IFERROR(MIN((('Data (Section A-H)'!J84/5)/(I35*('Data (Section A-H)'!$J$9+'Data (Section A-H)'!$J$14)/5))*J35,J35*2),0)</f>
        <v>0</v>
      </c>
    </row>
    <row r="36" spans="2:27" s="47" customFormat="1" ht="20.25" customHeight="1" x14ac:dyDescent="0.2">
      <c r="B36" s="499"/>
      <c r="C36" s="500"/>
      <c r="D36" s="523" t="s">
        <v>278</v>
      </c>
      <c r="E36" s="501"/>
      <c r="F36" s="524" t="s">
        <v>6</v>
      </c>
      <c r="G36" s="524" t="s">
        <v>6</v>
      </c>
      <c r="H36" s="525" t="s">
        <v>6</v>
      </c>
      <c r="I36" s="526" t="s">
        <v>6</v>
      </c>
      <c r="J36" s="527" t="s">
        <v>6</v>
      </c>
      <c r="K36" s="528" t="s">
        <v>6</v>
      </c>
      <c r="L36" s="529"/>
      <c r="M36" s="528"/>
      <c r="N36" s="529"/>
      <c r="O36" s="528"/>
      <c r="P36" s="530"/>
      <c r="Q36" s="49"/>
      <c r="R36" s="49"/>
    </row>
    <row r="37" spans="2:27" s="47" customFormat="1" ht="20.25" customHeight="1" x14ac:dyDescent="0.2">
      <c r="B37" s="499"/>
      <c r="C37" s="500"/>
      <c r="D37" s="523" t="s">
        <v>243</v>
      </c>
      <c r="E37" s="501"/>
      <c r="F37" s="502">
        <v>0.1</v>
      </c>
      <c r="G37" s="458">
        <v>0.6</v>
      </c>
      <c r="H37" s="531" t="s">
        <v>9</v>
      </c>
      <c r="I37" s="532">
        <v>0.2</v>
      </c>
      <c r="J37" s="520">
        <f>E29*F37*G37*J27</f>
        <v>1.4699999999999998</v>
      </c>
      <c r="K37" s="420">
        <f>IFERROR(('Data (Section A-H)'!E86/($I$37*('Data (Section A-H)'!E9+'Data (Section A-H)'!E14))*$J$37),0)</f>
        <v>0</v>
      </c>
      <c r="L37" s="420">
        <f>IFERROR(('Data (Section A-H)'!F86/($I$37*('Data (Section A-H)'!F9+'Data (Section A-H)'!F14))*$J$37),0)</f>
        <v>0</v>
      </c>
      <c r="M37" s="420">
        <f>IFERROR(('Data (Section A-H)'!G86/($I$37*('Data (Section A-H)'!G9+'Data (Section A-H)'!G14))*$J$37),0)</f>
        <v>0</v>
      </c>
      <c r="N37" s="420">
        <f>IFERROR(('Data (Section A-H)'!H86/($I$37*('Data (Section A-H)'!H9+'Data (Section A-H)'!H14))*$J$37),0)</f>
        <v>0</v>
      </c>
      <c r="O37" s="420">
        <f>IFERROR(('Data (Section A-H)'!I86/($I$37*('Data (Section A-H)'!I9+'Data (Section A-H)'!I14))*$J$37),0)</f>
        <v>0</v>
      </c>
      <c r="P37" s="518">
        <f>IFERROR(MIN((('Data (Section A-H)'!J86/5)/(I37*('Data (Section A-H)'!$J$9+'Data (Section A-H)'!$J$14)/5))*J37,J37*2),0)</f>
        <v>0</v>
      </c>
    </row>
    <row r="38" spans="2:27" s="47" customFormat="1" ht="20.25" customHeight="1" x14ac:dyDescent="0.2">
      <c r="B38" s="499"/>
      <c r="C38" s="500"/>
      <c r="D38" s="533" t="s">
        <v>244</v>
      </c>
      <c r="E38" s="501"/>
      <c r="F38" s="509"/>
      <c r="G38" s="458">
        <v>0.4</v>
      </c>
      <c r="H38" s="534" t="s">
        <v>9</v>
      </c>
      <c r="I38" s="535">
        <v>0.8</v>
      </c>
      <c r="J38" s="536">
        <f>E29*F37*G38*J27</f>
        <v>0.97999999999999987</v>
      </c>
      <c r="K38" s="420">
        <f>IFERROR(('Data (Section A-H)'!E87/($I$38*('Data (Section A-H)'!E9+'Data (Section A-H)'!E14))*$J$38),0)</f>
        <v>0</v>
      </c>
      <c r="L38" s="420">
        <f>IFERROR(('Data (Section A-H)'!F87/($I$38*('Data (Section A-H)'!F9+'Data (Section A-H)'!F14))*$J$38),0)</f>
        <v>0</v>
      </c>
      <c r="M38" s="420">
        <f>IFERROR(('Data (Section A-H)'!G87/($I$38*('Data (Section A-H)'!G9+'Data (Section A-H)'!G14))*$J$38),0)</f>
        <v>0</v>
      </c>
      <c r="N38" s="420">
        <f>IFERROR(('Data (Section A-H)'!H87/($I$38*('Data (Section A-H)'!H9+'Data (Section A-H)'!H14))*$J$38),0)</f>
        <v>0</v>
      </c>
      <c r="O38" s="420">
        <f>IFERROR(('Data (Section A-H)'!I87/($I$38*('Data (Section A-H)'!I9+'Data (Section A-H)'!I14))*$J$38),0)</f>
        <v>0</v>
      </c>
      <c r="P38" s="518">
        <f>IFERROR(MIN((('Data (Section A-H)'!J87/5)/(I38*('Data (Section A-H)'!$J$9+'Data (Section A-H)'!$J$14)/5))*J38,J38*2),0)</f>
        <v>0</v>
      </c>
    </row>
    <row r="39" spans="2:27" s="47" customFormat="1" ht="30" x14ac:dyDescent="0.2">
      <c r="B39" s="499"/>
      <c r="C39" s="500"/>
      <c r="D39" s="523" t="s">
        <v>288</v>
      </c>
      <c r="E39" s="501"/>
      <c r="F39" s="458">
        <v>0.03</v>
      </c>
      <c r="G39" s="537" t="s">
        <v>6</v>
      </c>
      <c r="H39" s="534" t="s">
        <v>228</v>
      </c>
      <c r="I39" s="538">
        <v>2</v>
      </c>
      <c r="J39" s="520">
        <f>E29*F39*J27</f>
        <v>0.73499999999999988</v>
      </c>
      <c r="K39" s="539">
        <f>IFERROR(('Data (Section A-H)'!J88/$I$39*$J$39),0)</f>
        <v>0</v>
      </c>
      <c r="L39" s="540"/>
      <c r="M39" s="540"/>
      <c r="N39" s="540"/>
      <c r="O39" s="541"/>
      <c r="P39" s="518">
        <f>IF(K39&gt;J39*2,J39*2,K39)</f>
        <v>0</v>
      </c>
    </row>
    <row r="40" spans="2:27" s="47" customFormat="1" ht="141" customHeight="1" thickBot="1" x14ac:dyDescent="0.25">
      <c r="B40" s="476"/>
      <c r="C40" s="477"/>
      <c r="D40" s="542" t="s">
        <v>279</v>
      </c>
      <c r="E40" s="478"/>
      <c r="F40" s="459">
        <v>0.02</v>
      </c>
      <c r="G40" s="543" t="s">
        <v>6</v>
      </c>
      <c r="H40" s="544"/>
      <c r="I40" s="545">
        <v>2</v>
      </c>
      <c r="J40" s="510">
        <f>E29*F40*J27</f>
        <v>0.48999999999999994</v>
      </c>
      <c r="K40" s="431">
        <f>IFERROR(('Data (Section A-H)'!E89/($I$40*('Data (Section A-H)'!E9+'Data (Section A-H)'!E14))*$J$40),0)</f>
        <v>0</v>
      </c>
      <c r="L40" s="431">
        <f>IFERROR(('Data (Section A-H)'!F89/($I$40*('Data (Section A-H)'!F9+'Data (Section A-H)'!F14))*$J$40),0)</f>
        <v>0</v>
      </c>
      <c r="M40" s="431">
        <f>IFERROR(('Data (Section A-H)'!G89/($I$40*('Data (Section A-H)'!G9+'Data (Section A-H)'!G14))*$J$40),0)</f>
        <v>0</v>
      </c>
      <c r="N40" s="431">
        <f>IFERROR(('Data (Section A-H)'!H89/($I$40*('Data (Section A-H)'!H9+'Data (Section A-H)'!H14))*$J$40),0)</f>
        <v>0</v>
      </c>
      <c r="O40" s="431">
        <f>IFERROR(('Data (Section A-H)'!I89/($I$40*('Data (Section A-H)'!I9+'Data (Section A-H)'!I14))*$J$40),0)</f>
        <v>0</v>
      </c>
      <c r="P40" s="518">
        <f>IFERROR(MIN((('Data (Section A-H)'!J89/5)/(I40*('Data (Section A-H)'!$J$9+'Data (Section A-H)'!$J$14)/5))*J40,J40*2),0)</f>
        <v>0</v>
      </c>
    </row>
    <row r="41" spans="2:27" s="47" customFormat="1" ht="68.25" customHeight="1" x14ac:dyDescent="0.2">
      <c r="B41" s="546">
        <v>2</v>
      </c>
      <c r="C41" s="469" t="s">
        <v>5</v>
      </c>
      <c r="D41" s="547" t="s">
        <v>349</v>
      </c>
      <c r="E41" s="470">
        <v>0.3</v>
      </c>
      <c r="F41" s="548">
        <v>0.5</v>
      </c>
      <c r="G41" s="549" t="s">
        <v>6</v>
      </c>
      <c r="H41" s="550" t="s">
        <v>10</v>
      </c>
      <c r="I41" s="551" t="s">
        <v>289</v>
      </c>
      <c r="J41" s="552">
        <f>E41*F41*J27</f>
        <v>5.25</v>
      </c>
      <c r="K41" s="553">
        <f>IFERROR((('Data (Section A-H)'!E90/((60000*'Data (Section A-H)'!E22)+(24000*'Data (Section A-H)'!E23))*$J$41)),0)</f>
        <v>0</v>
      </c>
      <c r="L41" s="553">
        <f>IFERROR((('Data (Section A-H)'!F90/((60000*'Data (Section A-H)'!F22)+(24000*'Data (Section A-H)'!F23))*$J$41)),0)</f>
        <v>0</v>
      </c>
      <c r="M41" s="553">
        <f>IFERROR((('Data (Section A-H)'!G90/((60000*'Data (Section A-H)'!G22)+(24000*'Data (Section A-H)'!G23))*$J$41)),0)</f>
        <v>0</v>
      </c>
      <c r="N41" s="553">
        <f>IFERROR((('Data (Section A-H)'!H90/((60000*'Data (Section A-H)'!H22)+(24000*'Data (Section A-H)'!H23))*$J$41)),0)</f>
        <v>0</v>
      </c>
      <c r="O41" s="553">
        <f>IFERROR((('Data (Section A-H)'!I90/((60000*'Data (Section A-H)'!I22)+(24000*'Data (Section A-H)'!I23))*$J$41)),0)</f>
        <v>0</v>
      </c>
      <c r="P41" s="554">
        <f>IFERROR((MIN('Data (Section A-H)'!J90/((60000*'Data (Section A-H)'!J22)+(24000*'Data (Section A-H)'!J23))*$J$41,$J$41*2)),0)</f>
        <v>0</v>
      </c>
    </row>
    <row r="42" spans="2:27" s="47" customFormat="1" ht="64.5" customHeight="1" x14ac:dyDescent="0.2">
      <c r="B42" s="555"/>
      <c r="C42" s="500"/>
      <c r="D42" s="556" t="s">
        <v>350</v>
      </c>
      <c r="E42" s="557"/>
      <c r="F42" s="458">
        <v>0.2</v>
      </c>
      <c r="G42" s="537" t="s">
        <v>6</v>
      </c>
      <c r="H42" s="534" t="s">
        <v>10</v>
      </c>
      <c r="I42" s="558" t="s">
        <v>290</v>
      </c>
      <c r="J42" s="520">
        <f>E41*F42*J27</f>
        <v>2.1</v>
      </c>
      <c r="K42" s="559">
        <f>IFERROR((('Data (Section A-H)'!E91/((20000*'Data (Section A-H)'!E22)+(12000*'Data (Section A-H)'!E23))*$J$42)),0)</f>
        <v>0</v>
      </c>
      <c r="L42" s="559">
        <f>IFERROR((('Data (Section A-H)'!F91/((20000*'Data (Section A-H)'!F22)+(12000*'Data (Section A-H)'!F23))*$J$42)),0)</f>
        <v>0</v>
      </c>
      <c r="M42" s="559">
        <f>IFERROR((('Data (Section A-H)'!G91/((20000*'Data (Section A-H)'!G22)+(12000*'Data (Section A-H)'!G23))*$J$42)),0)</f>
        <v>0</v>
      </c>
      <c r="N42" s="559">
        <f>IFERROR((('Data (Section A-H)'!H91/((20000*'Data (Section A-H)'!H22)+(12000*'Data (Section A-H)'!H23))*$J$42)),0)</f>
        <v>0</v>
      </c>
      <c r="O42" s="559">
        <f>IFERROR((('Data (Section A-H)'!I91/((20000*'Data (Section A-H)'!I22)+(12000*'Data (Section A-H)'!I23))*$J$42)),0)</f>
        <v>0</v>
      </c>
      <c r="P42" s="420">
        <f>IFERROR((MIN('Data (Section A-H)'!J91/((20000*'Data (Section A-H)'!J22)+(12000*'Data (Section A-H)'!J23))*$J$42,$J$42*2)),0)</f>
        <v>0</v>
      </c>
    </row>
    <row r="43" spans="2:27" s="47" customFormat="1" ht="71.25" customHeight="1" thickBot="1" x14ac:dyDescent="0.25">
      <c r="B43" s="560"/>
      <c r="C43" s="477"/>
      <c r="D43" s="561" t="s">
        <v>351</v>
      </c>
      <c r="E43" s="562"/>
      <c r="F43" s="428">
        <v>0.3</v>
      </c>
      <c r="G43" s="563" t="s">
        <v>6</v>
      </c>
      <c r="H43" s="564" t="s">
        <v>10</v>
      </c>
      <c r="I43" s="565" t="s">
        <v>291</v>
      </c>
      <c r="J43" s="536">
        <f>E41*F43*J27</f>
        <v>3.15</v>
      </c>
      <c r="K43" s="449">
        <f>IFERROR((('Data (Section A-H)'!E92/((20000*'Data (Section A-H)'!E22)+(20000*'Data (Section A-H)'!E23))*$J$43)),0)</f>
        <v>0</v>
      </c>
      <c r="L43" s="449">
        <f>IFERROR((('Data (Section A-H)'!F92/((20000*'Data (Section A-H)'!F22)+(20000*'Data (Section A-H)'!F23))*$J$43)),0)</f>
        <v>0</v>
      </c>
      <c r="M43" s="449">
        <f>IFERROR((('Data (Section A-H)'!G92/((20000*'Data (Section A-H)'!G22)+(20000*'Data (Section A-H)'!G23))*$J$43)),0)</f>
        <v>0</v>
      </c>
      <c r="N43" s="449">
        <f>IFERROR((('Data (Section A-H)'!H92/((20000*'Data (Section A-H)'!H22)+(20000*'Data (Section A-H)'!H23))*$J$43)),0)</f>
        <v>0</v>
      </c>
      <c r="O43" s="449">
        <f>IFERROR((('Data (Section A-H)'!I92/((20000*'Data (Section A-H)'!I22)+(20000*'Data (Section A-H)'!I23))*$J$43)),0)</f>
        <v>0</v>
      </c>
      <c r="P43" s="431">
        <f>IFERROR((MIN('Data (Section A-H)'!J92/((20000*'Data (Section A-H)'!J22)+(20000*'Data (Section A-H)'!J23))*$J$43,$J$43*2)),0)</f>
        <v>0</v>
      </c>
    </row>
    <row r="44" spans="2:27" s="50" customFormat="1" ht="30" customHeight="1" thickBot="1" x14ac:dyDescent="0.3">
      <c r="B44" s="566" t="s">
        <v>65</v>
      </c>
      <c r="C44" s="567"/>
      <c r="D44" s="567"/>
      <c r="E44" s="568">
        <f>SUM(E29:E43)</f>
        <v>1</v>
      </c>
      <c r="F44" s="569"/>
      <c r="G44" s="569"/>
      <c r="H44" s="569"/>
      <c r="I44" s="486"/>
      <c r="J44" s="570">
        <f t="shared" ref="J44:O44" si="2">SUM(J30:J43)</f>
        <v>35</v>
      </c>
      <c r="K44" s="571">
        <f t="shared" si="2"/>
        <v>0</v>
      </c>
      <c r="L44" s="488">
        <f t="shared" si="2"/>
        <v>0</v>
      </c>
      <c r="M44" s="572">
        <f t="shared" si="2"/>
        <v>0</v>
      </c>
      <c r="N44" s="488">
        <f t="shared" si="2"/>
        <v>0</v>
      </c>
      <c r="O44" s="489">
        <f t="shared" si="2"/>
        <v>0</v>
      </c>
      <c r="P44" s="573">
        <f>SUM(P30:P43)</f>
        <v>0</v>
      </c>
    </row>
    <row r="45" spans="2:27" x14ac:dyDescent="0.25">
      <c r="B45" s="112"/>
      <c r="C45" s="111"/>
      <c r="D45" s="111"/>
      <c r="E45" s="111"/>
      <c r="F45" s="111"/>
      <c r="G45" s="111"/>
      <c r="H45" s="112"/>
      <c r="I45" s="143"/>
      <c r="J45" s="574"/>
      <c r="K45" s="381"/>
      <c r="L45" s="381"/>
      <c r="M45" s="381"/>
      <c r="N45" s="381"/>
      <c r="O45" s="381"/>
      <c r="P45" s="381"/>
    </row>
    <row r="46" spans="2:27" x14ac:dyDescent="0.2">
      <c r="B46" s="112"/>
      <c r="C46" s="111"/>
      <c r="D46" s="111"/>
      <c r="E46" s="111"/>
      <c r="F46" s="111"/>
      <c r="G46" s="111"/>
      <c r="H46" s="113"/>
      <c r="I46" s="112"/>
      <c r="J46" s="380"/>
      <c r="K46" s="381"/>
      <c r="L46" s="381"/>
      <c r="M46" s="381"/>
      <c r="N46" s="381"/>
      <c r="O46" s="381"/>
      <c r="P46" s="381"/>
    </row>
    <row r="47" spans="2:27" s="51" customFormat="1" ht="16.5" thickBot="1" x14ac:dyDescent="0.3">
      <c r="B47" s="135"/>
      <c r="C47" s="135"/>
      <c r="D47" s="135"/>
      <c r="E47" s="135"/>
      <c r="F47" s="135"/>
      <c r="G47" s="135"/>
      <c r="H47" s="135"/>
      <c r="I47" s="135"/>
      <c r="J47" s="135"/>
      <c r="K47" s="381"/>
      <c r="L47" s="381"/>
      <c r="M47" s="381"/>
      <c r="N47" s="381"/>
      <c r="O47" s="381"/>
      <c r="P47" s="381"/>
    </row>
    <row r="48" spans="2:27" ht="36" customHeight="1" thickBot="1" x14ac:dyDescent="0.25">
      <c r="B48" s="386" t="s">
        <v>210</v>
      </c>
      <c r="C48" s="387"/>
      <c r="D48" s="387"/>
      <c r="E48" s="387"/>
      <c r="F48" s="387"/>
      <c r="G48" s="387"/>
      <c r="H48" s="387"/>
      <c r="I48" s="388"/>
      <c r="J48" s="389">
        <v>10</v>
      </c>
      <c r="K48" s="390" t="s">
        <v>227</v>
      </c>
      <c r="L48" s="387"/>
      <c r="M48" s="387"/>
      <c r="N48" s="387"/>
      <c r="O48" s="388"/>
      <c r="P48" s="391" t="s">
        <v>143</v>
      </c>
    </row>
    <row r="49" spans="2:30" s="50" customFormat="1" ht="42" customHeight="1" thickBot="1" x14ac:dyDescent="0.3">
      <c r="B49" s="392" t="s">
        <v>28</v>
      </c>
      <c r="C49" s="393" t="s">
        <v>29</v>
      </c>
      <c r="D49" s="393" t="s">
        <v>30</v>
      </c>
      <c r="E49" s="394" t="s">
        <v>31</v>
      </c>
      <c r="F49" s="393" t="s">
        <v>80</v>
      </c>
      <c r="G49" s="394" t="s">
        <v>84</v>
      </c>
      <c r="H49" s="575" t="s">
        <v>7</v>
      </c>
      <c r="I49" s="395" t="s">
        <v>76</v>
      </c>
      <c r="J49" s="396" t="s">
        <v>91</v>
      </c>
      <c r="K49" s="396">
        <v>2017</v>
      </c>
      <c r="L49" s="396">
        <v>2018</v>
      </c>
      <c r="M49" s="397">
        <v>2019</v>
      </c>
      <c r="N49" s="396">
        <v>2020</v>
      </c>
      <c r="O49" s="398">
        <v>2021</v>
      </c>
      <c r="P49" s="399"/>
      <c r="AA49" s="57"/>
    </row>
    <row r="50" spans="2:30" s="47" customFormat="1" ht="33.75" customHeight="1" x14ac:dyDescent="0.2">
      <c r="B50" s="468">
        <v>1</v>
      </c>
      <c r="C50" s="469" t="s">
        <v>171</v>
      </c>
      <c r="D50" s="523" t="s">
        <v>259</v>
      </c>
      <c r="E50" s="470">
        <v>0.8</v>
      </c>
      <c r="F50" s="458">
        <v>0.7</v>
      </c>
      <c r="G50" s="459"/>
      <c r="H50" s="504" t="s">
        <v>172</v>
      </c>
      <c r="I50" s="576">
        <f>1/2</f>
        <v>0.5</v>
      </c>
      <c r="J50" s="520">
        <f>E50*F50*J48</f>
        <v>5.6</v>
      </c>
      <c r="K50" s="554">
        <f>IFERROR(('Data (Section A-H)'!E99/(('Data (Section A-H)'!E9+'Data (Section A-H)'!E14)*$I$50)*'Summary (Section B-H)'!$J$50),0)</f>
        <v>0</v>
      </c>
      <c r="L50" s="554">
        <f>IFERROR(('Data (Section A-H)'!F99/(('Data (Section A-H)'!F9+'Data (Section A-H)'!F14)*$I$50)*'Summary (Section B-H)'!$J$50),0)</f>
        <v>0</v>
      </c>
      <c r="M50" s="554">
        <f>IFERROR(('Data (Section A-H)'!G99/(('Data (Section A-H)'!G9+'Data (Section A-H)'!G14)*$I$50)*'Summary (Section B-H)'!$J$50),0)</f>
        <v>0</v>
      </c>
      <c r="N50" s="554">
        <f>IFERROR(('Data (Section A-H)'!H99/(('Data (Section A-H)'!H9+'Data (Section A-H)'!H14)*$I$50)*'Summary (Section B-H)'!$J$50),0)</f>
        <v>0</v>
      </c>
      <c r="O50" s="554">
        <f>IFERROR(('Data (Section A-H)'!I99/(('Data (Section A-H)'!I9+'Data (Section A-H)'!I14)*$I$50)*'Summary (Section B-H)'!$J$50),0)</f>
        <v>0</v>
      </c>
      <c r="P50" s="554">
        <f>IFERROR((MIN('Data (Section A-H)'!J99/(('Data (Section A-H)'!J9+'Data (Section A-H)'!J14)*$I$50)*'Summary (Section B-H)'!$J$50,'Summary (Section B-H)'!$J$50*2)),0)</f>
        <v>0</v>
      </c>
    </row>
    <row r="51" spans="2:30" s="47" customFormat="1" ht="33.75" customHeight="1" thickBot="1" x14ac:dyDescent="0.25">
      <c r="B51" s="476"/>
      <c r="C51" s="477"/>
      <c r="D51" s="425" t="s">
        <v>292</v>
      </c>
      <c r="E51" s="478"/>
      <c r="F51" s="428">
        <v>0.3</v>
      </c>
      <c r="G51" s="464"/>
      <c r="H51" s="577" t="s">
        <v>78</v>
      </c>
      <c r="I51" s="578">
        <v>0.25</v>
      </c>
      <c r="J51" s="467">
        <f>E50*F51*J48</f>
        <v>2.4</v>
      </c>
      <c r="K51" s="420">
        <f>IF('Data (Section A-H)'!E100&gt;'Data (Section A-H)'!E99,0,IFERROR(('Data (Section A-H)'!E100/(($I$51*'Data (Section A-H)'!E55))*$J$51),0))</f>
        <v>0</v>
      </c>
      <c r="L51" s="420">
        <f>IF('Data (Section A-H)'!F100&gt;'Data (Section A-H)'!F99,0,IFERROR(('Data (Section A-H)'!F100/(($I$51*'Data (Section A-H)'!F55))*$J$51),0))</f>
        <v>0</v>
      </c>
      <c r="M51" s="420">
        <f>IF('Data (Section A-H)'!G100&gt;'Data (Section A-H)'!G99,0,IFERROR(('Data (Section A-H)'!G100/(($I$51*'Data (Section A-H)'!G55))*$J$51),0))</f>
        <v>0</v>
      </c>
      <c r="N51" s="420">
        <f>IF('Data (Section A-H)'!H100&gt;'Data (Section A-H)'!H99,0,IFERROR(('Data (Section A-H)'!H100/(($I$51*'Data (Section A-H)'!H55))*$J$51),0))</f>
        <v>0</v>
      </c>
      <c r="O51" s="420">
        <f>IF('Data (Section A-H)'!I100&gt;'Data (Section A-H)'!I99,0,IFERROR(('Data (Section A-H)'!I100/(($I$51*'Data (Section A-H)'!I55))*$J$51),0))</f>
        <v>0</v>
      </c>
      <c r="P51" s="420">
        <f>IFERROR((MIN('Data (Section A-H)'!J100/(($I$51*'Data (Section A-H)'!J55))*$J$51,$J$51*2)),0)</f>
        <v>0</v>
      </c>
    </row>
    <row r="52" spans="2:30" s="47" customFormat="1" ht="33.75" customHeight="1" thickBot="1" x14ac:dyDescent="0.25">
      <c r="B52" s="579">
        <v>2</v>
      </c>
      <c r="C52" s="580" t="s">
        <v>79</v>
      </c>
      <c r="D52" s="402" t="s">
        <v>170</v>
      </c>
      <c r="E52" s="581">
        <v>0.2</v>
      </c>
      <c r="F52" s="548">
        <v>1</v>
      </c>
      <c r="G52" s="582"/>
      <c r="H52" s="473" t="s">
        <v>225</v>
      </c>
      <c r="I52" s="474">
        <v>1</v>
      </c>
      <c r="J52" s="583">
        <v>2</v>
      </c>
      <c r="K52" s="420">
        <f>IFERROR(('Data (Section A-H)'!E101/$I$52*$J$52),0)</f>
        <v>0</v>
      </c>
      <c r="L52" s="420">
        <f>IFERROR(('Data (Section A-H)'!F101/$I$52*$J$52),0)</f>
        <v>0</v>
      </c>
      <c r="M52" s="420">
        <f>IFERROR(('Data (Section A-H)'!G101/$I$52*$J$52),0)</f>
        <v>0</v>
      </c>
      <c r="N52" s="420">
        <f>IFERROR(('Data (Section A-H)'!H101/$I$52*$J$52),0)</f>
        <v>0</v>
      </c>
      <c r="O52" s="420">
        <f>IFERROR(('Data (Section A-H)'!I101/$I$52*$J$52),0)</f>
        <v>0</v>
      </c>
      <c r="P52" s="420">
        <f>IFERROR((MIN('Data (Section A-H)'!J101/(5*$I$52)*$J$52,$J$52)),0)</f>
        <v>0</v>
      </c>
    </row>
    <row r="53" spans="2:30" s="50" customFormat="1" ht="30" customHeight="1" thickBot="1" x14ac:dyDescent="0.3">
      <c r="B53" s="566" t="s">
        <v>34</v>
      </c>
      <c r="C53" s="567"/>
      <c r="D53" s="567"/>
      <c r="E53" s="568">
        <f>SUM(E50:E52)</f>
        <v>1</v>
      </c>
      <c r="F53" s="569"/>
      <c r="G53" s="569"/>
      <c r="H53" s="569"/>
      <c r="I53" s="486"/>
      <c r="J53" s="570">
        <f t="shared" ref="J53:O53" si="3">SUM(J50:J52)</f>
        <v>10</v>
      </c>
      <c r="K53" s="488">
        <f t="shared" si="3"/>
        <v>0</v>
      </c>
      <c r="L53" s="572">
        <f t="shared" si="3"/>
        <v>0</v>
      </c>
      <c r="M53" s="488">
        <f t="shared" si="3"/>
        <v>0</v>
      </c>
      <c r="N53" s="572">
        <f t="shared" si="3"/>
        <v>0</v>
      </c>
      <c r="O53" s="488">
        <f t="shared" si="3"/>
        <v>0</v>
      </c>
      <c r="P53" s="573">
        <f>SUM(P50:P52)</f>
        <v>0</v>
      </c>
    </row>
    <row r="54" spans="2:30" x14ac:dyDescent="0.2">
      <c r="B54" s="112"/>
      <c r="C54" s="111"/>
      <c r="D54" s="111"/>
      <c r="E54" s="111"/>
      <c r="F54" s="111"/>
      <c r="G54" s="111"/>
      <c r="H54" s="113"/>
      <c r="I54" s="112"/>
      <c r="J54" s="380"/>
      <c r="K54" s="381"/>
      <c r="L54" s="381"/>
      <c r="M54" s="381"/>
      <c r="N54" s="381"/>
      <c r="O54" s="381"/>
      <c r="P54" s="381"/>
    </row>
    <row r="55" spans="2:30" x14ac:dyDescent="0.2">
      <c r="B55" s="112"/>
      <c r="C55" s="111"/>
      <c r="D55" s="111"/>
      <c r="E55" s="111"/>
      <c r="F55" s="111"/>
      <c r="G55" s="111"/>
      <c r="H55" s="113"/>
      <c r="I55" s="112"/>
      <c r="J55" s="380"/>
      <c r="K55" s="381"/>
      <c r="L55" s="381"/>
      <c r="M55" s="381"/>
      <c r="N55" s="381"/>
      <c r="O55" s="381"/>
      <c r="P55" s="381"/>
    </row>
    <row r="56" spans="2:30" ht="16.5" thickBot="1" x14ac:dyDescent="0.25">
      <c r="B56" s="135"/>
      <c r="C56" s="135"/>
      <c r="D56" s="135"/>
      <c r="E56" s="135"/>
      <c r="F56" s="135"/>
      <c r="G56" s="135"/>
      <c r="H56" s="135"/>
      <c r="I56" s="135"/>
      <c r="J56" s="135"/>
      <c r="K56" s="490"/>
      <c r="L56" s="490"/>
      <c r="M56" s="490"/>
      <c r="N56" s="490"/>
      <c r="O56" s="490"/>
      <c r="P56" s="490"/>
    </row>
    <row r="57" spans="2:30" ht="36" customHeight="1" thickBot="1" x14ac:dyDescent="0.3">
      <c r="B57" s="386" t="s">
        <v>205</v>
      </c>
      <c r="C57" s="387"/>
      <c r="D57" s="387"/>
      <c r="E57" s="387"/>
      <c r="F57" s="387"/>
      <c r="G57" s="387"/>
      <c r="H57" s="387"/>
      <c r="I57" s="388"/>
      <c r="J57" s="389">
        <v>15</v>
      </c>
      <c r="K57" s="387" t="s">
        <v>227</v>
      </c>
      <c r="L57" s="387"/>
      <c r="M57" s="387"/>
      <c r="N57" s="387"/>
      <c r="O57" s="388"/>
      <c r="P57" s="391" t="s">
        <v>143</v>
      </c>
      <c r="Q57" s="73"/>
      <c r="R57" s="73"/>
    </row>
    <row r="58" spans="2:30" s="50" customFormat="1" ht="42" customHeight="1" thickBot="1" x14ac:dyDescent="0.3">
      <c r="B58" s="392" t="s">
        <v>28</v>
      </c>
      <c r="C58" s="393" t="s">
        <v>29</v>
      </c>
      <c r="D58" s="393" t="s">
        <v>30</v>
      </c>
      <c r="E58" s="393" t="s">
        <v>31</v>
      </c>
      <c r="F58" s="393" t="s">
        <v>80</v>
      </c>
      <c r="G58" s="394" t="s">
        <v>84</v>
      </c>
      <c r="H58" s="393" t="s">
        <v>7</v>
      </c>
      <c r="I58" s="584" t="s">
        <v>76</v>
      </c>
      <c r="J58" s="396" t="s">
        <v>91</v>
      </c>
      <c r="K58" s="396">
        <v>2017</v>
      </c>
      <c r="L58" s="396">
        <v>2018</v>
      </c>
      <c r="M58" s="397">
        <v>2019</v>
      </c>
      <c r="N58" s="396">
        <v>2020</v>
      </c>
      <c r="O58" s="398">
        <v>2021</v>
      </c>
      <c r="P58" s="399"/>
      <c r="Q58" s="75"/>
      <c r="R58" s="75"/>
      <c r="AA58" s="57"/>
    </row>
    <row r="59" spans="2:30" s="47" customFormat="1" ht="33.75" customHeight="1" x14ac:dyDescent="0.2">
      <c r="B59" s="546">
        <v>1</v>
      </c>
      <c r="C59" s="585" t="s">
        <v>88</v>
      </c>
      <c r="D59" s="402" t="s">
        <v>130</v>
      </c>
      <c r="E59" s="586" t="s">
        <v>6</v>
      </c>
      <c r="F59" s="586" t="s">
        <v>6</v>
      </c>
      <c r="G59" s="582"/>
      <c r="H59" s="587" t="s">
        <v>6</v>
      </c>
      <c r="I59" s="588" t="s">
        <v>6</v>
      </c>
      <c r="J59" s="589" t="s">
        <v>6</v>
      </c>
      <c r="K59" s="590" t="s">
        <v>6</v>
      </c>
      <c r="L59" s="591" t="s">
        <v>6</v>
      </c>
      <c r="M59" s="590" t="s">
        <v>6</v>
      </c>
      <c r="N59" s="591" t="s">
        <v>6</v>
      </c>
      <c r="O59" s="590" t="s">
        <v>6</v>
      </c>
      <c r="P59" s="590"/>
      <c r="Q59" s="53"/>
      <c r="R59" s="53"/>
    </row>
    <row r="60" spans="2:30" s="47" customFormat="1" ht="20.25" customHeight="1" x14ac:dyDescent="0.2">
      <c r="B60" s="555"/>
      <c r="C60" s="592"/>
      <c r="D60" s="593" t="s">
        <v>131</v>
      </c>
      <c r="E60" s="594"/>
      <c r="F60" s="594"/>
      <c r="G60" s="544"/>
      <c r="H60" s="595"/>
      <c r="I60" s="596"/>
      <c r="J60" s="597"/>
      <c r="K60" s="598"/>
      <c r="L60" s="599"/>
      <c r="M60" s="598"/>
      <c r="N60" s="599"/>
      <c r="O60" s="598"/>
      <c r="P60" s="598"/>
    </row>
    <row r="61" spans="2:30" s="47" customFormat="1" ht="20.25" customHeight="1" x14ac:dyDescent="0.2">
      <c r="B61" s="555"/>
      <c r="C61" s="592"/>
      <c r="D61" s="593" t="s">
        <v>132</v>
      </c>
      <c r="E61" s="594"/>
      <c r="F61" s="594"/>
      <c r="G61" s="544"/>
      <c r="H61" s="595"/>
      <c r="I61" s="596"/>
      <c r="J61" s="597"/>
      <c r="K61" s="598"/>
      <c r="L61" s="599"/>
      <c r="M61" s="598"/>
      <c r="N61" s="599"/>
      <c r="O61" s="598"/>
      <c r="P61" s="598"/>
    </row>
    <row r="62" spans="2:30" s="47" customFormat="1" ht="33" customHeight="1" x14ac:dyDescent="0.2">
      <c r="B62" s="555"/>
      <c r="C62" s="592"/>
      <c r="D62" s="523" t="s">
        <v>133</v>
      </c>
      <c r="E62" s="600" t="s">
        <v>6</v>
      </c>
      <c r="F62" s="600" t="s">
        <v>6</v>
      </c>
      <c r="G62" s="459"/>
      <c r="H62" s="601" t="s">
        <v>6</v>
      </c>
      <c r="I62" s="602" t="s">
        <v>6</v>
      </c>
      <c r="J62" s="603" t="s">
        <v>6</v>
      </c>
      <c r="K62" s="604" t="s">
        <v>6</v>
      </c>
      <c r="L62" s="605" t="s">
        <v>6</v>
      </c>
      <c r="M62" s="604" t="s">
        <v>6</v>
      </c>
      <c r="N62" s="605" t="s">
        <v>6</v>
      </c>
      <c r="O62" s="604" t="s">
        <v>6</v>
      </c>
      <c r="P62" s="604"/>
      <c r="AA62" s="379" t="s">
        <v>235</v>
      </c>
      <c r="AB62" s="379" t="s">
        <v>265</v>
      </c>
      <c r="AC62" s="379" t="s">
        <v>236</v>
      </c>
      <c r="AD62" s="379" t="s">
        <v>264</v>
      </c>
    </row>
    <row r="63" spans="2:30" s="47" customFormat="1" ht="20.25" customHeight="1" x14ac:dyDescent="0.2">
      <c r="B63" s="555"/>
      <c r="C63" s="592"/>
      <c r="D63" s="593" t="s">
        <v>134</v>
      </c>
      <c r="E63" s="606"/>
      <c r="F63" s="606"/>
      <c r="G63" s="544"/>
      <c r="H63" s="607"/>
      <c r="I63" s="608"/>
      <c r="J63" s="597"/>
      <c r="K63" s="598"/>
      <c r="L63" s="599"/>
      <c r="M63" s="598"/>
      <c r="N63" s="599"/>
      <c r="O63" s="598"/>
      <c r="P63" s="598"/>
      <c r="AA63" s="379"/>
      <c r="AB63" s="379"/>
      <c r="AC63" s="379"/>
      <c r="AD63" s="379"/>
    </row>
    <row r="64" spans="2:30" s="47" customFormat="1" ht="20.25" customHeight="1" x14ac:dyDescent="0.2">
      <c r="B64" s="555"/>
      <c r="C64" s="592"/>
      <c r="D64" s="593" t="s">
        <v>135</v>
      </c>
      <c r="E64" s="606"/>
      <c r="F64" s="606"/>
      <c r="G64" s="544"/>
      <c r="H64" s="607"/>
      <c r="I64" s="608"/>
      <c r="J64" s="597"/>
      <c r="K64" s="598"/>
      <c r="L64" s="599"/>
      <c r="M64" s="598"/>
      <c r="N64" s="599"/>
      <c r="O64" s="598"/>
      <c r="P64" s="598"/>
      <c r="AA64" s="379"/>
      <c r="AB64" s="379"/>
      <c r="AC64" s="379"/>
      <c r="AD64" s="379"/>
    </row>
    <row r="65" spans="2:30" s="47" customFormat="1" ht="33" customHeight="1" x14ac:dyDescent="0.2">
      <c r="B65" s="555"/>
      <c r="C65" s="592"/>
      <c r="D65" s="523" t="s">
        <v>250</v>
      </c>
      <c r="E65" s="609">
        <v>0.2</v>
      </c>
      <c r="F65" s="458">
        <v>1</v>
      </c>
      <c r="G65" s="544"/>
      <c r="H65" s="610" t="s">
        <v>218</v>
      </c>
      <c r="I65" s="611">
        <v>1</v>
      </c>
      <c r="J65" s="520">
        <f>IF('Data (Section A-H)'!J5=1,'Summary (Section B-H)'!AD65,'Summary (Section B-H)'!AC65)</f>
        <v>1.5</v>
      </c>
      <c r="K65" s="420">
        <f>IFERROR('Data (Section A-H)'!E113/$I$65*$J$65,0)</f>
        <v>0</v>
      </c>
      <c r="L65" s="420">
        <f>IFERROR('Data (Section A-H)'!F113/$I$65*$J$65,0)</f>
        <v>0</v>
      </c>
      <c r="M65" s="420">
        <f>IFERROR('Data (Section A-H)'!G113/$I$65*$J$65,0)</f>
        <v>0</v>
      </c>
      <c r="N65" s="420">
        <f>IFERROR('Data (Section A-H)'!H113/$I$65*$J$65,0)</f>
        <v>0</v>
      </c>
      <c r="O65" s="420">
        <f>IFERROR('Data (Section A-H)'!I113/$I$65*$J$65,0)</f>
        <v>0</v>
      </c>
      <c r="P65" s="420">
        <f>IFERROR(MIN('Data (Section A-H)'!J113/(5*$I$65)*$J$65,J65*2),0)</f>
        <v>0</v>
      </c>
      <c r="Q65" s="54"/>
      <c r="R65" s="54"/>
      <c r="S65" s="54"/>
      <c r="T65" s="54"/>
      <c r="U65" s="54"/>
      <c r="AA65" s="58">
        <v>1</v>
      </c>
      <c r="AB65" s="58">
        <v>1</v>
      </c>
      <c r="AC65" s="58">
        <v>1.5</v>
      </c>
      <c r="AD65" s="58">
        <v>3</v>
      </c>
    </row>
    <row r="66" spans="2:30" s="47" customFormat="1" ht="33" customHeight="1" thickBot="1" x14ac:dyDescent="0.25">
      <c r="B66" s="560"/>
      <c r="C66" s="612"/>
      <c r="D66" s="425" t="s">
        <v>251</v>
      </c>
      <c r="E66" s="613">
        <v>0.1</v>
      </c>
      <c r="F66" s="428">
        <v>1</v>
      </c>
      <c r="G66" s="614"/>
      <c r="H66" s="615" t="s">
        <v>218</v>
      </c>
      <c r="I66" s="616">
        <v>4</v>
      </c>
      <c r="J66" s="617">
        <f>E66*F66*J57</f>
        <v>1.5</v>
      </c>
      <c r="K66" s="420">
        <f>IFERROR('Data (Section A-H)'!E114/$I$66*$J$66,0)</f>
        <v>0</v>
      </c>
      <c r="L66" s="420">
        <f>IFERROR('Data (Section A-H)'!F114/$I$66*$J$66,0)</f>
        <v>0</v>
      </c>
      <c r="M66" s="420">
        <f>IFERROR('Data (Section A-H)'!G114/$I$66*$J$66,0)</f>
        <v>0</v>
      </c>
      <c r="N66" s="420">
        <f>IFERROR('Data (Section A-H)'!H114/$I$66*$J$66,0)</f>
        <v>0</v>
      </c>
      <c r="O66" s="420">
        <f>IFERROR('Data (Section A-H)'!I114/$I$66*$J$66,0)</f>
        <v>0</v>
      </c>
      <c r="P66" s="420">
        <f>IFERROR(MIN('Data (Section A-H)'!J114/(5*$I$66)*$J$66,$J$66),0)</f>
        <v>0</v>
      </c>
      <c r="Q66" s="55"/>
      <c r="R66" s="55"/>
      <c r="S66" s="55"/>
      <c r="T66" s="55"/>
      <c r="U66" s="55"/>
      <c r="AA66" s="58">
        <v>4</v>
      </c>
      <c r="AB66" s="58">
        <v>4</v>
      </c>
      <c r="AC66" s="69">
        <v>1.5</v>
      </c>
      <c r="AD66" s="69">
        <v>1.5</v>
      </c>
    </row>
    <row r="67" spans="2:30" s="47" customFormat="1" ht="33" customHeight="1" thickBot="1" x14ac:dyDescent="0.25">
      <c r="B67" s="618">
        <v>2</v>
      </c>
      <c r="C67" s="619" t="s">
        <v>0</v>
      </c>
      <c r="D67" s="619" t="s">
        <v>252</v>
      </c>
      <c r="E67" s="620">
        <v>0.3</v>
      </c>
      <c r="F67" s="621">
        <v>1</v>
      </c>
      <c r="G67" s="621"/>
      <c r="H67" s="622" t="s">
        <v>220</v>
      </c>
      <c r="I67" s="623">
        <v>2</v>
      </c>
      <c r="J67" s="570">
        <f>E67*F67*J57</f>
        <v>4.5</v>
      </c>
      <c r="K67" s="539">
        <f>IFERROR('Data (Section A-H)'!J115/$I$67*$J$67,0)</f>
        <v>0</v>
      </c>
      <c r="L67" s="540"/>
      <c r="M67" s="540"/>
      <c r="N67" s="540"/>
      <c r="O67" s="541"/>
      <c r="P67" s="420">
        <f>IFERROR(MIN('Data (Section A-H)'!J115/$I$67*$J$67,J67*2),0)</f>
        <v>0</v>
      </c>
      <c r="AA67" s="58">
        <v>2</v>
      </c>
      <c r="AB67" s="58">
        <v>2</v>
      </c>
      <c r="AC67" s="58">
        <v>4.5</v>
      </c>
      <c r="AD67" s="58">
        <v>4.5</v>
      </c>
    </row>
    <row r="68" spans="2:30" s="47" customFormat="1" ht="33" customHeight="1" thickBot="1" x14ac:dyDescent="0.25">
      <c r="B68" s="618">
        <v>3</v>
      </c>
      <c r="C68" s="619" t="s">
        <v>1</v>
      </c>
      <c r="D68" s="619" t="s">
        <v>253</v>
      </c>
      <c r="E68" s="620">
        <v>0.3</v>
      </c>
      <c r="F68" s="621">
        <v>1</v>
      </c>
      <c r="G68" s="621"/>
      <c r="H68" s="622" t="s">
        <v>218</v>
      </c>
      <c r="I68" s="623">
        <v>1</v>
      </c>
      <c r="J68" s="487">
        <f>E68*F68*J57</f>
        <v>4.5</v>
      </c>
      <c r="K68" s="420">
        <f>IFERROR('Data (Section A-H)'!E116/$I$68*$J$68,0)</f>
        <v>0</v>
      </c>
      <c r="L68" s="420">
        <f>IFERROR('Data (Section A-H)'!F116/$I$68*$J$68,0)</f>
        <v>0</v>
      </c>
      <c r="M68" s="420">
        <f>IFERROR('Data (Section A-H)'!G116/$I$68*$J$68,0)</f>
        <v>0</v>
      </c>
      <c r="N68" s="420">
        <f>IFERROR('Data (Section A-H)'!H116/$I$68*$J$68,0)</f>
        <v>0</v>
      </c>
      <c r="O68" s="420">
        <f>IFERROR('Data (Section A-H)'!I116/$I$68*$J$68,0)</f>
        <v>0</v>
      </c>
      <c r="P68" s="420">
        <f>IFERROR(MIN('Data (Section A-H)'!J116/(5*$I$68)*J68,$J$68*2),0)</f>
        <v>0</v>
      </c>
      <c r="AA68" s="58">
        <v>1</v>
      </c>
      <c r="AB68" s="58">
        <v>1</v>
      </c>
      <c r="AC68" s="58">
        <v>4.5</v>
      </c>
      <c r="AD68" s="58">
        <v>4.5</v>
      </c>
    </row>
    <row r="69" spans="2:30" s="47" customFormat="1" ht="63" customHeight="1" thickBot="1" x14ac:dyDescent="0.25">
      <c r="B69" s="618">
        <v>4</v>
      </c>
      <c r="C69" s="624" t="s">
        <v>254</v>
      </c>
      <c r="D69" s="624" t="s">
        <v>280</v>
      </c>
      <c r="E69" s="620">
        <v>0.1</v>
      </c>
      <c r="F69" s="621">
        <v>1</v>
      </c>
      <c r="G69" s="625"/>
      <c r="H69" s="622" t="s">
        <v>218</v>
      </c>
      <c r="I69" s="623">
        <f>IF('Data (Section A-H)'!J5=1,AB69,AA69)</f>
        <v>6</v>
      </c>
      <c r="J69" s="510">
        <f>IF('Data (Section A-H)'!J5=1,AD69,AC69)</f>
        <v>3</v>
      </c>
      <c r="K69" s="420">
        <f>IFERROR('Data (Section A-H)'!E117/$I$69*$J$69,0)</f>
        <v>0</v>
      </c>
      <c r="L69" s="420">
        <f>IFERROR('Data (Section A-H)'!F117/$I$69*$J$69,0)</f>
        <v>0</v>
      </c>
      <c r="M69" s="420">
        <f>IFERROR('Data (Section A-H)'!G117/$I$69*$J$69,0)</f>
        <v>0</v>
      </c>
      <c r="N69" s="420">
        <f>IFERROR('Data (Section A-H)'!H117/$I$69*$J$69,0)</f>
        <v>0</v>
      </c>
      <c r="O69" s="420">
        <f>IFERROR('Data (Section A-H)'!I117/$I$69*$J$69,0)</f>
        <v>0</v>
      </c>
      <c r="P69" s="420">
        <f>IFERROR(MIN('Data (Section A-H)'!J117/(5*$I$69)*$J$69,J69*2),0)</f>
        <v>0</v>
      </c>
      <c r="AA69" s="58">
        <v>6</v>
      </c>
      <c r="AB69" s="58">
        <v>3</v>
      </c>
      <c r="AC69" s="58">
        <v>3</v>
      </c>
      <c r="AD69" s="58">
        <v>1.5</v>
      </c>
    </row>
    <row r="70" spans="2:30" s="50" customFormat="1" ht="30" customHeight="1" thickBot="1" x14ac:dyDescent="0.3">
      <c r="B70" s="566" t="s">
        <v>4</v>
      </c>
      <c r="C70" s="567"/>
      <c r="D70" s="567"/>
      <c r="E70" s="568">
        <f>SUM(E59:E69)</f>
        <v>1.0000000000000002</v>
      </c>
      <c r="F70" s="569"/>
      <c r="G70" s="569"/>
      <c r="H70" s="626"/>
      <c r="I70" s="486"/>
      <c r="J70" s="570">
        <f>SUM(J59:J69)</f>
        <v>15</v>
      </c>
      <c r="K70" s="571">
        <f>SUM(K59:K69)</f>
        <v>0</v>
      </c>
      <c r="L70" s="488">
        <f>SUM(L59:L69)+K67</f>
        <v>0</v>
      </c>
      <c r="M70" s="572">
        <f>SUM(M59:M69)+K67</f>
        <v>0</v>
      </c>
      <c r="N70" s="488">
        <f>SUM(N59:N69)+K67</f>
        <v>0</v>
      </c>
      <c r="O70" s="489">
        <f>SUM(O59:O69)+K67</f>
        <v>0</v>
      </c>
      <c r="P70" s="627">
        <f>SUM(P65:P69)</f>
        <v>0</v>
      </c>
    </row>
    <row r="71" spans="2:30" x14ac:dyDescent="0.2">
      <c r="B71" s="112"/>
      <c r="C71" s="111"/>
      <c r="D71" s="111"/>
      <c r="E71" s="111"/>
      <c r="F71" s="111"/>
      <c r="G71" s="111"/>
      <c r="H71" s="113"/>
      <c r="I71" s="112"/>
      <c r="J71" s="380"/>
      <c r="K71" s="381"/>
      <c r="L71" s="381"/>
      <c r="M71" s="381"/>
      <c r="N71" s="381"/>
      <c r="O71" s="381"/>
      <c r="P71" s="381"/>
    </row>
    <row r="72" spans="2:30" x14ac:dyDescent="0.2">
      <c r="B72" s="112"/>
      <c r="C72" s="111"/>
      <c r="D72" s="111"/>
      <c r="E72" s="111"/>
      <c r="F72" s="111"/>
      <c r="G72" s="111"/>
      <c r="H72" s="113"/>
      <c r="I72" s="112"/>
      <c r="J72" s="380"/>
      <c r="K72" s="381"/>
      <c r="L72" s="381"/>
      <c r="M72" s="381"/>
      <c r="N72" s="381"/>
      <c r="O72" s="381"/>
      <c r="P72" s="381"/>
    </row>
    <row r="73" spans="2:30" ht="16.5" thickBot="1" x14ac:dyDescent="0.25">
      <c r="B73" s="112"/>
      <c r="C73" s="148"/>
      <c r="D73" s="148"/>
      <c r="E73" s="148"/>
      <c r="F73" s="148"/>
      <c r="G73" s="148"/>
      <c r="H73" s="148"/>
      <c r="I73" s="148"/>
      <c r="J73" s="148"/>
      <c r="K73" s="490"/>
      <c r="L73" s="490"/>
      <c r="M73" s="490"/>
      <c r="N73" s="490"/>
      <c r="O73" s="490"/>
      <c r="P73" s="490"/>
    </row>
    <row r="74" spans="2:30" ht="36" customHeight="1" thickBot="1" x14ac:dyDescent="0.25">
      <c r="B74" s="386" t="s">
        <v>206</v>
      </c>
      <c r="C74" s="491"/>
      <c r="D74" s="491"/>
      <c r="E74" s="491"/>
      <c r="F74" s="491"/>
      <c r="G74" s="491"/>
      <c r="H74" s="491"/>
      <c r="I74" s="492"/>
      <c r="J74" s="389">
        <v>10</v>
      </c>
      <c r="K74" s="390" t="s">
        <v>227</v>
      </c>
      <c r="L74" s="387"/>
      <c r="M74" s="387"/>
      <c r="N74" s="387"/>
      <c r="O74" s="388"/>
      <c r="P74" s="391" t="s">
        <v>143</v>
      </c>
    </row>
    <row r="75" spans="2:30" ht="42" customHeight="1" thickBot="1" x14ac:dyDescent="0.25">
      <c r="B75" s="628" t="s">
        <v>16</v>
      </c>
      <c r="C75" s="629" t="s">
        <v>118</v>
      </c>
      <c r="D75" s="629" t="s">
        <v>119</v>
      </c>
      <c r="E75" s="575" t="s">
        <v>31</v>
      </c>
      <c r="F75" s="393" t="s">
        <v>120</v>
      </c>
      <c r="G75" s="394" t="s">
        <v>84</v>
      </c>
      <c r="H75" s="394" t="s">
        <v>7</v>
      </c>
      <c r="I75" s="396" t="s">
        <v>121</v>
      </c>
      <c r="J75" s="396" t="s">
        <v>122</v>
      </c>
      <c r="K75" s="396">
        <v>2017</v>
      </c>
      <c r="L75" s="396">
        <v>2018</v>
      </c>
      <c r="M75" s="397">
        <v>2019</v>
      </c>
      <c r="N75" s="396">
        <v>2020</v>
      </c>
      <c r="O75" s="398">
        <v>2021</v>
      </c>
      <c r="P75" s="399"/>
      <c r="AA75" s="57"/>
    </row>
    <row r="76" spans="2:30" ht="33" customHeight="1" thickBot="1" x14ac:dyDescent="0.25">
      <c r="B76" s="630">
        <v>1</v>
      </c>
      <c r="C76" s="631" t="s">
        <v>123</v>
      </c>
      <c r="D76" s="631" t="s">
        <v>293</v>
      </c>
      <c r="E76" s="632">
        <v>0.1</v>
      </c>
      <c r="F76" s="464">
        <v>1</v>
      </c>
      <c r="G76" s="633"/>
      <c r="H76" s="480" t="s">
        <v>10</v>
      </c>
      <c r="I76" s="634">
        <v>50000</v>
      </c>
      <c r="J76" s="635">
        <f>J74*E76*F76</f>
        <v>1</v>
      </c>
      <c r="K76" s="420">
        <f>IFERROR(('Data (Section A-H)'!E123/('Summary (Section B-H)'!$I$76*('Data (Section A-H)'!E9+'Data (Section A-H)'!E14))*'Summary (Section B-H)'!$J$76),0)</f>
        <v>0</v>
      </c>
      <c r="L76" s="420">
        <f>IFERROR(('Data (Section A-H)'!F123/('Summary (Section B-H)'!$I$76*('Data (Section A-H)'!F9+'Data (Section A-H)'!F14))*'Summary (Section B-H)'!$J$76),0)</f>
        <v>0</v>
      </c>
      <c r="M76" s="420">
        <f>IFERROR(('Data (Section A-H)'!G123/('Summary (Section B-H)'!$I$76*('Data (Section A-H)'!G9+'Data (Section A-H)'!G14))*'Summary (Section B-H)'!$J$76),0)</f>
        <v>0</v>
      </c>
      <c r="N76" s="420">
        <f>IFERROR(('Data (Section A-H)'!H123/('Summary (Section B-H)'!$I$76*('Data (Section A-H)'!H9+'Data (Section A-H)'!H14))*'Summary (Section B-H)'!$J$76),0)</f>
        <v>0</v>
      </c>
      <c r="O76" s="420">
        <f>IFERROR(('Data (Section A-H)'!I123/('Summary (Section B-H)'!$I$76*('Data (Section A-H)'!I9+'Data (Section A-H)'!I14))*'Summary (Section B-H)'!$J$76),0)</f>
        <v>0</v>
      </c>
      <c r="P76" s="420">
        <f>IFERROR(MIN('Data (Section A-H)'!J123/('Summary (Section B-H)'!$I$76*('Data (Section A-H)'!J9+'Data (Section A-H)'!J14))*'Summary (Section B-H)'!$J$76,$J$76*2),0)</f>
        <v>0</v>
      </c>
      <c r="AB76" s="79"/>
    </row>
    <row r="77" spans="2:30" s="47" customFormat="1" ht="33" customHeight="1" thickBot="1" x14ac:dyDescent="0.25">
      <c r="B77" s="636">
        <v>2</v>
      </c>
      <c r="C77" s="637" t="s">
        <v>124</v>
      </c>
      <c r="D77" s="637" t="s">
        <v>319</v>
      </c>
      <c r="E77" s="638">
        <v>0.2</v>
      </c>
      <c r="F77" s="639">
        <v>1</v>
      </c>
      <c r="G77" s="640"/>
      <c r="H77" s="641" t="s">
        <v>10</v>
      </c>
      <c r="I77" s="642">
        <v>50000</v>
      </c>
      <c r="J77" s="643">
        <f>J74*E77*F77</f>
        <v>2</v>
      </c>
      <c r="K77" s="420">
        <f>IFERROR(('Data (Section A-H)'!E124/('Summary (Section B-H)'!$I$77*('Data (Section A-H)'!E9+'Data (Section A-H)'!E14))*'Summary (Section B-H)'!$J$77),0)</f>
        <v>0</v>
      </c>
      <c r="L77" s="420">
        <f>IFERROR(('Data (Section A-H)'!F124/('Summary (Section B-H)'!$I$77*('Data (Section A-H)'!F9+'Data (Section A-H)'!F14))*'Summary (Section B-H)'!$J$77),0)</f>
        <v>0</v>
      </c>
      <c r="M77" s="420">
        <f>IFERROR(('Data (Section A-H)'!G124/('Summary (Section B-H)'!$I$77*('Data (Section A-H)'!G9+'Data (Section A-H)'!G14))*'Summary (Section B-H)'!$J$77),0)</f>
        <v>0</v>
      </c>
      <c r="N77" s="420">
        <f>IFERROR(('Data (Section A-H)'!H124/('Summary (Section B-H)'!$I$77*('Data (Section A-H)'!H9+'Data (Section A-H)'!H14))*'Summary (Section B-H)'!$J$77),0)</f>
        <v>0</v>
      </c>
      <c r="O77" s="420">
        <f>IFERROR(('Data (Section A-H)'!I124/('Summary (Section B-H)'!$I$77*('Data (Section A-H)'!I9+'Data (Section A-H)'!I14))*'Summary (Section B-H)'!$J$77),0)</f>
        <v>0</v>
      </c>
      <c r="P77" s="420">
        <f>IFERROR(MIN('Data (Section A-H)'!J124/('Summary (Section B-H)'!$I$77*('Data (Section A-H)'!J9+'Data (Section A-H)'!J14))*'Summary (Section B-H)'!$J$77,$J$77*2),0)</f>
        <v>0</v>
      </c>
      <c r="AB77" s="79"/>
    </row>
    <row r="78" spans="2:30" s="47" customFormat="1" ht="33" customHeight="1" x14ac:dyDescent="0.2">
      <c r="B78" s="644">
        <v>3</v>
      </c>
      <c r="C78" s="645" t="s">
        <v>229</v>
      </c>
      <c r="D78" s="646" t="s">
        <v>341</v>
      </c>
      <c r="E78" s="647">
        <v>0.3</v>
      </c>
      <c r="F78" s="548">
        <v>0.5</v>
      </c>
      <c r="G78" s="648"/>
      <c r="H78" s="474" t="s">
        <v>230</v>
      </c>
      <c r="I78" s="649">
        <v>1.5</v>
      </c>
      <c r="J78" s="650">
        <f>J74*E78*F78</f>
        <v>1.5</v>
      </c>
      <c r="K78" s="420">
        <f>IFERROR(('Data (Section A-H)'!E125/('Summary (Section B-H)'!$I$78*('Data (Section A-H)'!E9+'Data (Section A-H)'!E14))*'Summary (Section B-H)'!$J$78),0)</f>
        <v>0</v>
      </c>
      <c r="L78" s="420">
        <f>IFERROR(('Data (Section A-H)'!F125/('Summary (Section B-H)'!$I$78*('Data (Section A-H)'!F9+'Data (Section A-H)'!F14))*'Summary (Section B-H)'!$J$78),0)</f>
        <v>0</v>
      </c>
      <c r="M78" s="420">
        <f>IFERROR(('Data (Section A-H)'!G125/('Summary (Section B-H)'!$I$78*('Data (Section A-H)'!G9+'Data (Section A-H)'!G14))*'Summary (Section B-H)'!$J$78),0)</f>
        <v>0</v>
      </c>
      <c r="N78" s="420">
        <f>IFERROR(('Data (Section A-H)'!H125/('Summary (Section B-H)'!$I$78*('Data (Section A-H)'!H9+'Data (Section A-H)'!H14))*'Summary (Section B-H)'!$J$78),0)</f>
        <v>0</v>
      </c>
      <c r="O78" s="420">
        <f>IFERROR(('Data (Section A-H)'!I125/('Summary (Section B-H)'!$I$78*('Data (Section A-H)'!I9+'Data (Section A-H)'!I14))*'Summary (Section B-H)'!$J$78),0)</f>
        <v>0</v>
      </c>
      <c r="P78" s="420">
        <f>IFERROR(MIN('Data (Section A-H)'!J125/('Summary (Section B-H)'!$I$78*('Data (Section A-H)'!J9+'Data (Section A-H)'!J14))*'Summary (Section B-H)'!$J$78,$J$78*2),0)</f>
        <v>0</v>
      </c>
      <c r="Q78" s="53"/>
      <c r="R78" s="53"/>
      <c r="AB78" s="79"/>
    </row>
    <row r="79" spans="2:30" s="47" customFormat="1" ht="34.5" customHeight="1" thickBot="1" x14ac:dyDescent="0.25">
      <c r="B79" s="651"/>
      <c r="C79" s="652"/>
      <c r="D79" s="653" t="s">
        <v>340</v>
      </c>
      <c r="E79" s="654"/>
      <c r="F79" s="428">
        <v>0.5</v>
      </c>
      <c r="G79" s="655"/>
      <c r="H79" s="656" t="s">
        <v>10</v>
      </c>
      <c r="I79" s="657">
        <v>200000</v>
      </c>
      <c r="J79" s="658">
        <f>J74*E78*F79</f>
        <v>1.5</v>
      </c>
      <c r="K79" s="420">
        <f>IFERROR(('Data (Section A-H)'!E126/('Summary (Section B-H)'!$I$79*('Data (Section A-H)'!E9+'Data (Section A-H)'!E14))*'Summary (Section B-H)'!$J$79),0)</f>
        <v>0</v>
      </c>
      <c r="L79" s="420">
        <f>IFERROR(('Data (Section A-H)'!F126/('Summary (Section B-H)'!$I$79*('Data (Section A-H)'!F9+'Data (Section A-H)'!F14))*'Summary (Section B-H)'!$J$79),0)</f>
        <v>0</v>
      </c>
      <c r="M79" s="420">
        <f>IFERROR(('Data (Section A-H)'!G126/('Summary (Section B-H)'!$I$79*('Data (Section A-H)'!G9+'Data (Section A-H)'!G14))*'Summary (Section B-H)'!$J$79),0)</f>
        <v>0</v>
      </c>
      <c r="N79" s="420">
        <f>IFERROR(('Data (Section A-H)'!H126/('Summary (Section B-H)'!$I$79*('Data (Section A-H)'!H9+'Data (Section A-H)'!H14))*'Summary (Section B-H)'!$J$79),0)</f>
        <v>0</v>
      </c>
      <c r="O79" s="420">
        <f>IFERROR(('Data (Section A-H)'!I126/('Summary (Section B-H)'!$I$79*('Data (Section A-H)'!I9+'Data (Section A-H)'!I14))*'Summary (Section B-H)'!$J$79),0)</f>
        <v>0</v>
      </c>
      <c r="P79" s="420">
        <f>IFERROR(MIN('Data (Section A-H)'!J126/('Summary (Section B-H)'!$I$79*('Data (Section A-H)'!J9+'Data (Section A-H)'!J14))*'Summary (Section B-H)'!$J$79,$J$79*2),0)</f>
        <v>0</v>
      </c>
      <c r="AB79" s="79"/>
    </row>
    <row r="80" spans="2:30" s="47" customFormat="1" ht="41.25" customHeight="1" thickBot="1" x14ac:dyDescent="0.25">
      <c r="B80" s="659">
        <v>4</v>
      </c>
      <c r="C80" s="660" t="s">
        <v>3</v>
      </c>
      <c r="D80" s="637" t="s">
        <v>89</v>
      </c>
      <c r="E80" s="661">
        <v>0.4</v>
      </c>
      <c r="F80" s="459">
        <v>0.5</v>
      </c>
      <c r="G80" s="662"/>
      <c r="H80" s="663" t="s">
        <v>219</v>
      </c>
      <c r="I80" s="664">
        <v>500000</v>
      </c>
      <c r="J80" s="510">
        <f>E80*F80*J74</f>
        <v>2</v>
      </c>
      <c r="K80" s="539">
        <f>IFERROR(('Data (Section A-H)'!J127*J80/(500000)),0)</f>
        <v>0</v>
      </c>
      <c r="L80" s="540"/>
      <c r="M80" s="540"/>
      <c r="N80" s="540"/>
      <c r="O80" s="541"/>
      <c r="P80" s="420">
        <f>IFERROR((MIN('Data (Section A-H)'!J127/($I$80)*$J$80,$J$80*2)),0)</f>
        <v>0</v>
      </c>
      <c r="AB80" s="79"/>
    </row>
    <row r="81" spans="2:28" s="47" customFormat="1" ht="48" customHeight="1" thickBot="1" x14ac:dyDescent="0.25">
      <c r="B81" s="630">
        <v>5</v>
      </c>
      <c r="C81" s="665" t="s">
        <v>87</v>
      </c>
      <c r="D81" s="666" t="s">
        <v>89</v>
      </c>
      <c r="E81" s="654"/>
      <c r="F81" s="621">
        <v>0.5</v>
      </c>
      <c r="G81" s="667"/>
      <c r="H81" s="668"/>
      <c r="I81" s="669">
        <v>500000</v>
      </c>
      <c r="J81" s="670">
        <f>E80*F81*J74</f>
        <v>2</v>
      </c>
      <c r="K81" s="671">
        <f>IFERROR(('Data (Section A-H)'!J128*J81/(500000)),0)</f>
        <v>0</v>
      </c>
      <c r="L81" s="672"/>
      <c r="M81" s="672"/>
      <c r="N81" s="672"/>
      <c r="O81" s="673"/>
      <c r="P81" s="424">
        <f>IFERROR((MIN('Data (Section A-H)'!J128/$I$81*$J$81,$J$81*2)),0)</f>
        <v>0</v>
      </c>
      <c r="AB81" s="79"/>
    </row>
    <row r="82" spans="2:28" s="47" customFormat="1" ht="30" customHeight="1" thickBot="1" x14ac:dyDescent="0.25">
      <c r="B82" s="674" t="s">
        <v>138</v>
      </c>
      <c r="C82" s="675"/>
      <c r="D82" s="675"/>
      <c r="E82" s="676">
        <f>SUM(E76:E81)</f>
        <v>1</v>
      </c>
      <c r="F82" s="677"/>
      <c r="G82" s="677"/>
      <c r="H82" s="677"/>
      <c r="I82" s="678"/>
      <c r="J82" s="679">
        <f t="shared" ref="J82:P82" si="4">SUM(J76:J81)</f>
        <v>10</v>
      </c>
      <c r="K82" s="488">
        <f t="shared" si="4"/>
        <v>0</v>
      </c>
      <c r="L82" s="572">
        <f>SUM(L76:L81)+K80+K81</f>
        <v>0</v>
      </c>
      <c r="M82" s="488">
        <f>SUM(M76:M81)+K80+K81</f>
        <v>0</v>
      </c>
      <c r="N82" s="572">
        <f>SUM(N76:N81)+K80+K81</f>
        <v>0</v>
      </c>
      <c r="O82" s="488">
        <f>SUM(O76:O81)+K80+K81</f>
        <v>0</v>
      </c>
      <c r="P82" s="680">
        <f t="shared" si="4"/>
        <v>0</v>
      </c>
      <c r="AB82" s="67"/>
    </row>
    <row r="83" spans="2:28" ht="15" customHeight="1" x14ac:dyDescent="0.2">
      <c r="B83" s="146"/>
      <c r="C83" s="152"/>
      <c r="D83" s="152"/>
      <c r="E83" s="153"/>
      <c r="F83" s="154"/>
      <c r="G83" s="155"/>
      <c r="H83" s="156"/>
      <c r="I83" s="156"/>
      <c r="J83" s="126"/>
      <c r="K83" s="381"/>
      <c r="L83" s="381"/>
      <c r="M83" s="381"/>
      <c r="N83" s="381"/>
      <c r="O83" s="381"/>
      <c r="P83" s="381"/>
    </row>
    <row r="84" spans="2:28" ht="15" customHeight="1" x14ac:dyDescent="0.2">
      <c r="B84" s="146"/>
      <c r="C84" s="152"/>
      <c r="D84" s="152"/>
      <c r="E84" s="153"/>
      <c r="F84" s="154"/>
      <c r="G84" s="155"/>
      <c r="H84" s="156"/>
      <c r="I84" s="156"/>
      <c r="J84" s="126"/>
      <c r="K84" s="381"/>
      <c r="L84" s="381"/>
      <c r="M84" s="381"/>
      <c r="N84" s="381"/>
      <c r="O84" s="381"/>
      <c r="P84" s="381"/>
    </row>
    <row r="85" spans="2:28" ht="16.5" thickBot="1" x14ac:dyDescent="0.25">
      <c r="B85" s="146"/>
      <c r="C85" s="157"/>
      <c r="D85" s="157"/>
      <c r="E85" s="157"/>
      <c r="F85" s="157"/>
      <c r="G85" s="157"/>
      <c r="H85" s="157"/>
      <c r="I85" s="157"/>
      <c r="J85" s="681"/>
      <c r="K85" s="381"/>
      <c r="L85" s="381"/>
      <c r="M85" s="381"/>
      <c r="N85" s="381"/>
      <c r="O85" s="381"/>
      <c r="P85" s="381"/>
    </row>
    <row r="86" spans="2:28" s="47" customFormat="1" ht="36" customHeight="1" thickBot="1" x14ac:dyDescent="0.25">
      <c r="B86" s="386" t="s">
        <v>212</v>
      </c>
      <c r="C86" s="491"/>
      <c r="D86" s="491"/>
      <c r="E86" s="491"/>
      <c r="F86" s="491"/>
      <c r="G86" s="491"/>
      <c r="H86" s="491"/>
      <c r="I86" s="492"/>
      <c r="J86" s="389">
        <v>12</v>
      </c>
      <c r="K86" s="387" t="s">
        <v>227</v>
      </c>
      <c r="L86" s="387"/>
      <c r="M86" s="387"/>
      <c r="N86" s="387"/>
      <c r="O86" s="388"/>
      <c r="P86" s="391" t="s">
        <v>143</v>
      </c>
    </row>
    <row r="87" spans="2:28" ht="42" customHeight="1" thickBot="1" x14ac:dyDescent="0.3">
      <c r="B87" s="682" t="s">
        <v>16</v>
      </c>
      <c r="C87" s="683" t="s">
        <v>118</v>
      </c>
      <c r="D87" s="683" t="s">
        <v>119</v>
      </c>
      <c r="E87" s="393" t="s">
        <v>31</v>
      </c>
      <c r="F87" s="394" t="s">
        <v>120</v>
      </c>
      <c r="G87" s="394" t="s">
        <v>84</v>
      </c>
      <c r="H87" s="575" t="s">
        <v>7</v>
      </c>
      <c r="I87" s="394" t="s">
        <v>121</v>
      </c>
      <c r="J87" s="396" t="s">
        <v>122</v>
      </c>
      <c r="K87" s="396">
        <v>2017</v>
      </c>
      <c r="L87" s="396">
        <v>2018</v>
      </c>
      <c r="M87" s="397">
        <v>2019</v>
      </c>
      <c r="N87" s="396">
        <v>2020</v>
      </c>
      <c r="O87" s="398">
        <v>2021</v>
      </c>
      <c r="P87" s="399"/>
      <c r="AA87" s="80"/>
    </row>
    <row r="88" spans="2:28" ht="33" customHeight="1" x14ac:dyDescent="0.2">
      <c r="B88" s="684">
        <v>1</v>
      </c>
      <c r="C88" s="585" t="s">
        <v>125</v>
      </c>
      <c r="D88" s="685" t="s">
        <v>342</v>
      </c>
      <c r="E88" s="686">
        <v>1</v>
      </c>
      <c r="F88" s="471">
        <v>0.2</v>
      </c>
      <c r="G88" s="687"/>
      <c r="H88" s="688" t="s">
        <v>218</v>
      </c>
      <c r="I88" s="474">
        <v>2</v>
      </c>
      <c r="J88" s="650">
        <f>J86*E88*F88</f>
        <v>2.4000000000000004</v>
      </c>
      <c r="K88" s="554">
        <f>IFERROR(('Data (Section A-H)'!E134/$I$88*$J$88),0)</f>
        <v>0</v>
      </c>
      <c r="L88" s="554">
        <f>IFERROR(('Data (Section A-H)'!F134/$I$88*$J$88),0)</f>
        <v>0</v>
      </c>
      <c r="M88" s="554">
        <f>IFERROR(('Data (Section A-H)'!G134/$I$88*$J$88),0)</f>
        <v>0</v>
      </c>
      <c r="N88" s="554">
        <f>IFERROR(('Data (Section A-H)'!H134/$I$88*$J$88),0)</f>
        <v>0</v>
      </c>
      <c r="O88" s="554">
        <f>IFERROR(('Data (Section A-H)'!I134/$I$88*$J$88),0)</f>
        <v>0</v>
      </c>
      <c r="P88" s="554">
        <f>IFERROR((MIN('Data (Section A-H)'!J134/(5*$I$88)*$J$88,$J$88)),0)</f>
        <v>0</v>
      </c>
    </row>
    <row r="89" spans="2:28" ht="54.75" customHeight="1" x14ac:dyDescent="0.2">
      <c r="B89" s="689"/>
      <c r="C89" s="592"/>
      <c r="D89" s="690" t="s">
        <v>338</v>
      </c>
      <c r="E89" s="691"/>
      <c r="F89" s="692">
        <v>0.1</v>
      </c>
      <c r="G89" s="693"/>
      <c r="H89" s="694"/>
      <c r="I89" s="695">
        <v>10</v>
      </c>
      <c r="J89" s="696">
        <f>J86*E88*F89</f>
        <v>1.2000000000000002</v>
      </c>
      <c r="K89" s="420">
        <f>IFERROR(('Data (Section A-H)'!E137/$I$89*$J$89),0)</f>
        <v>0</v>
      </c>
      <c r="L89" s="420">
        <f>IFERROR(('Data (Section A-H)'!F137/$I$89*$J$89),0)</f>
        <v>0</v>
      </c>
      <c r="M89" s="420">
        <f>IFERROR(('Data (Section A-H)'!G137/$I$89*$J$89),0)</f>
        <v>0</v>
      </c>
      <c r="N89" s="420">
        <f>IFERROR(('Data (Section A-H)'!H137/$I$89*$J$89),0)</f>
        <v>0</v>
      </c>
      <c r="O89" s="420">
        <f>IFERROR(('Data (Section A-H)'!I137/$I$89*$J$89),0)</f>
        <v>0</v>
      </c>
      <c r="P89" s="420">
        <f>IFERROR((MIN('Data (Section A-H)'!J137/(5*$I$89)*$J$89,$J$89)),0)</f>
        <v>0</v>
      </c>
    </row>
    <row r="90" spans="2:28" ht="52.9" customHeight="1" x14ac:dyDescent="0.2">
      <c r="B90" s="689"/>
      <c r="C90" s="592"/>
      <c r="D90" s="690" t="s">
        <v>282</v>
      </c>
      <c r="E90" s="691"/>
      <c r="F90" s="692">
        <v>0.15</v>
      </c>
      <c r="G90" s="693"/>
      <c r="H90" s="531" t="s">
        <v>268</v>
      </c>
      <c r="I90" s="695">
        <v>1</v>
      </c>
      <c r="J90" s="696">
        <f>J86*E88*F90</f>
        <v>1.7999999999999998</v>
      </c>
      <c r="K90" s="539">
        <f>IFERROR(('Data (Section A-H)'!J138/$I$90*$J$90),0)</f>
        <v>0</v>
      </c>
      <c r="L90" s="540"/>
      <c r="M90" s="540"/>
      <c r="N90" s="540"/>
      <c r="O90" s="541"/>
      <c r="P90" s="420">
        <f>IFERROR((MIN('Data (Section A-H)'!J138/($I$90)*$J$90,$J$90)),0)</f>
        <v>0</v>
      </c>
      <c r="AA90" s="74"/>
    </row>
    <row r="91" spans="2:28" ht="47.45" customHeight="1" x14ac:dyDescent="0.2">
      <c r="B91" s="689"/>
      <c r="C91" s="592"/>
      <c r="D91" s="690" t="s">
        <v>343</v>
      </c>
      <c r="E91" s="691"/>
      <c r="F91" s="692">
        <v>0.15</v>
      </c>
      <c r="G91" s="697"/>
      <c r="H91" s="698" t="s">
        <v>218</v>
      </c>
      <c r="I91" s="695">
        <v>2</v>
      </c>
      <c r="J91" s="696">
        <f>J86*E88*F91</f>
        <v>1.7999999999999998</v>
      </c>
      <c r="K91" s="420">
        <f>IFERROR(('Data (Section A-H)'!E139/$I$91*$J$91),0)</f>
        <v>0</v>
      </c>
      <c r="L91" s="420">
        <f>IFERROR(('Data (Section A-H)'!F139/$I$91*$J$91),0)</f>
        <v>0</v>
      </c>
      <c r="M91" s="420">
        <f>IFERROR(('Data (Section A-H)'!G139/$I$91*$J$91),0)</f>
        <v>0</v>
      </c>
      <c r="N91" s="420">
        <f>IFERROR(('Data (Section A-H)'!H139/$I$91*$J$91),0)</f>
        <v>0</v>
      </c>
      <c r="O91" s="420">
        <f>IFERROR(('Data (Section A-H)'!I139/$I$91*$J$91),0)</f>
        <v>0</v>
      </c>
      <c r="P91" s="420">
        <f>IFERROR((MIN('Data (Section A-H)'!J139/(5*$I$91)*$J$91,$J$91)),0)</f>
        <v>0</v>
      </c>
    </row>
    <row r="92" spans="2:28" ht="21" customHeight="1" x14ac:dyDescent="0.2">
      <c r="B92" s="689"/>
      <c r="C92" s="592"/>
      <c r="D92" s="690" t="s">
        <v>294</v>
      </c>
      <c r="E92" s="691"/>
      <c r="F92" s="692">
        <v>0.2</v>
      </c>
      <c r="G92" s="693"/>
      <c r="H92" s="694"/>
      <c r="I92" s="695">
        <v>1</v>
      </c>
      <c r="J92" s="696">
        <f>J86*E88*F92</f>
        <v>2.4000000000000004</v>
      </c>
      <c r="K92" s="420">
        <f>IFERROR(('Data (Section A-H)'!E140/$I$92*$J$92),0)</f>
        <v>0</v>
      </c>
      <c r="L92" s="420">
        <f>IFERROR(('Data (Section A-H)'!F140/$I$92*$J$92),0)</f>
        <v>0</v>
      </c>
      <c r="M92" s="420">
        <f>IFERROR(('Data (Section A-H)'!G140/$I$92*$J$92),0)</f>
        <v>0</v>
      </c>
      <c r="N92" s="420">
        <f>IFERROR(('Data (Section A-H)'!H140/$I$92*$J$92),0)</f>
        <v>0</v>
      </c>
      <c r="O92" s="420">
        <f>IFERROR(('Data (Section A-H)'!I140/$I$92*$J$92),0)</f>
        <v>0</v>
      </c>
      <c r="P92" s="420">
        <f>IFERROR((MIN('Data (Section A-H)'!J140/(5*$I$92)*$J$92,$J$92)),0)</f>
        <v>0</v>
      </c>
    </row>
    <row r="93" spans="2:28" ht="63.6" customHeight="1" thickBot="1" x14ac:dyDescent="0.25">
      <c r="B93" s="699"/>
      <c r="C93" s="612"/>
      <c r="D93" s="700" t="s">
        <v>295</v>
      </c>
      <c r="E93" s="701"/>
      <c r="F93" s="702">
        <v>0.2</v>
      </c>
      <c r="G93" s="633"/>
      <c r="H93" s="703"/>
      <c r="I93" s="656">
        <v>1</v>
      </c>
      <c r="J93" s="704">
        <f>J86*E88*F93</f>
        <v>2.4000000000000004</v>
      </c>
      <c r="K93" s="420">
        <f>IFERROR(('Data (Section A-H)'!E141/$I$93*$J$93),0)</f>
        <v>0</v>
      </c>
      <c r="L93" s="420">
        <f>IFERROR(('Data (Section A-H)'!F141/$I$93*$J$93),0)</f>
        <v>0</v>
      </c>
      <c r="M93" s="420">
        <f>IFERROR(('Data (Section A-H)'!G141/$I$93*$J$93),0)</f>
        <v>0</v>
      </c>
      <c r="N93" s="420">
        <f>IFERROR(('Data (Section A-H)'!H141/$I$93*$J$93),0)</f>
        <v>0</v>
      </c>
      <c r="O93" s="420">
        <f>IFERROR(('Data (Section A-H)'!I141/$I$93*$J$93),0)</f>
        <v>0</v>
      </c>
      <c r="P93" s="420">
        <f>IFERROR((MIN('Data (Section A-H)'!J141/(5*$I$93)*$J$93,$J$93)),0)</f>
        <v>0</v>
      </c>
    </row>
    <row r="94" spans="2:28" ht="30" customHeight="1" thickBot="1" x14ac:dyDescent="0.25">
      <c r="B94" s="674" t="s">
        <v>139</v>
      </c>
      <c r="C94" s="675"/>
      <c r="D94" s="675"/>
      <c r="E94" s="676">
        <f>SUM(E88)</f>
        <v>1</v>
      </c>
      <c r="F94" s="705"/>
      <c r="G94" s="706"/>
      <c r="H94" s="706"/>
      <c r="I94" s="706"/>
      <c r="J94" s="679">
        <f t="shared" ref="J94:O94" si="5">SUM(J88:J93)</f>
        <v>12.000000000000002</v>
      </c>
      <c r="K94" s="571">
        <f>SUM(K88:K93)</f>
        <v>0</v>
      </c>
      <c r="L94" s="488">
        <f t="shared" si="5"/>
        <v>0</v>
      </c>
      <c r="M94" s="572">
        <f t="shared" si="5"/>
        <v>0</v>
      </c>
      <c r="N94" s="488">
        <f t="shared" si="5"/>
        <v>0</v>
      </c>
      <c r="O94" s="489">
        <f t="shared" si="5"/>
        <v>0</v>
      </c>
      <c r="P94" s="707">
        <f>SUM(P88:P93)</f>
        <v>0</v>
      </c>
    </row>
    <row r="95" spans="2:28" x14ac:dyDescent="0.2">
      <c r="B95" s="112"/>
      <c r="C95" s="111"/>
      <c r="D95" s="111"/>
      <c r="E95" s="111"/>
      <c r="F95" s="111"/>
      <c r="G95" s="111"/>
      <c r="H95" s="113"/>
      <c r="I95" s="112"/>
      <c r="J95" s="380"/>
      <c r="K95" s="381"/>
      <c r="L95" s="381"/>
      <c r="M95" s="381"/>
      <c r="N95" s="381"/>
      <c r="O95" s="381"/>
      <c r="P95" s="381"/>
    </row>
    <row r="96" spans="2:28" x14ac:dyDescent="0.2">
      <c r="B96" s="112"/>
      <c r="C96" s="111"/>
      <c r="D96" s="111"/>
      <c r="E96" s="111"/>
      <c r="F96" s="111"/>
      <c r="G96" s="111"/>
      <c r="H96" s="113"/>
      <c r="I96" s="112"/>
      <c r="J96" s="380"/>
      <c r="K96" s="381"/>
      <c r="L96" s="381"/>
      <c r="M96" s="381"/>
      <c r="N96" s="381"/>
      <c r="O96" s="381"/>
      <c r="P96" s="381"/>
    </row>
    <row r="97" spans="2:27" ht="16.5" thickBot="1" x14ac:dyDescent="0.25">
      <c r="B97" s="135"/>
      <c r="C97" s="135"/>
      <c r="D97" s="135"/>
      <c r="E97" s="135"/>
      <c r="F97" s="135"/>
      <c r="G97" s="135"/>
      <c r="H97" s="135"/>
      <c r="I97" s="135"/>
      <c r="J97" s="135"/>
      <c r="K97" s="381"/>
      <c r="L97" s="381"/>
      <c r="M97" s="381"/>
      <c r="N97" s="381"/>
      <c r="O97" s="381"/>
      <c r="P97" s="381"/>
    </row>
    <row r="98" spans="2:27" ht="36" customHeight="1" thickBot="1" x14ac:dyDescent="0.25">
      <c r="B98" s="386" t="s">
        <v>211</v>
      </c>
      <c r="C98" s="387"/>
      <c r="D98" s="387"/>
      <c r="E98" s="387"/>
      <c r="F98" s="387"/>
      <c r="G98" s="387"/>
      <c r="H98" s="387"/>
      <c r="I98" s="388"/>
      <c r="J98" s="708">
        <v>3</v>
      </c>
      <c r="K98" s="390" t="s">
        <v>227</v>
      </c>
      <c r="L98" s="387"/>
      <c r="M98" s="387"/>
      <c r="N98" s="387"/>
      <c r="O98" s="387"/>
      <c r="P98" s="709" t="s">
        <v>143</v>
      </c>
      <c r="AA98" s="81"/>
    </row>
    <row r="99" spans="2:27" ht="42" customHeight="1" thickBot="1" x14ac:dyDescent="0.25">
      <c r="B99" s="392" t="s">
        <v>28</v>
      </c>
      <c r="C99" s="393" t="s">
        <v>29</v>
      </c>
      <c r="D99" s="393" t="s">
        <v>30</v>
      </c>
      <c r="E99" s="394" t="s">
        <v>31</v>
      </c>
      <c r="F99" s="393" t="s">
        <v>80</v>
      </c>
      <c r="G99" s="394" t="s">
        <v>84</v>
      </c>
      <c r="H99" s="575" t="s">
        <v>7</v>
      </c>
      <c r="I99" s="395" t="s">
        <v>76</v>
      </c>
      <c r="J99" s="396" t="s">
        <v>91</v>
      </c>
      <c r="K99" s="396">
        <v>2017</v>
      </c>
      <c r="L99" s="396">
        <v>2018</v>
      </c>
      <c r="M99" s="397">
        <v>2019</v>
      </c>
      <c r="N99" s="396">
        <v>2020</v>
      </c>
      <c r="O99" s="398">
        <v>2021</v>
      </c>
      <c r="P99" s="710"/>
      <c r="AA99" s="86"/>
    </row>
    <row r="100" spans="2:27" ht="35.25" customHeight="1" thickBot="1" x14ac:dyDescent="0.25">
      <c r="B100" s="618">
        <v>1</v>
      </c>
      <c r="C100" s="624" t="s">
        <v>126</v>
      </c>
      <c r="D100" s="711" t="s">
        <v>345</v>
      </c>
      <c r="E100" s="621">
        <v>0.2</v>
      </c>
      <c r="F100" s="712">
        <v>1</v>
      </c>
      <c r="G100" s="713"/>
      <c r="H100" s="714" t="s">
        <v>267</v>
      </c>
      <c r="I100" s="715">
        <v>400000</v>
      </c>
      <c r="J100" s="679">
        <f>E100*F100*J98</f>
        <v>0.60000000000000009</v>
      </c>
      <c r="K100" s="716">
        <f>IFERROR(('Data (Section A-H)'!E147/$I$100*$J$100),0)</f>
        <v>0</v>
      </c>
      <c r="L100" s="716">
        <f>IFERROR(('Data (Section A-H)'!F147/$I$100*$J$100),0)</f>
        <v>0</v>
      </c>
      <c r="M100" s="716">
        <f>IFERROR(('Data (Section A-H)'!G147/$I$100*$J$100),0)</f>
        <v>0</v>
      </c>
      <c r="N100" s="716">
        <f>IFERROR(('Data (Section A-H)'!H147/$I$100*$J$100),0)</f>
        <v>0</v>
      </c>
      <c r="O100" s="716">
        <f>IFERROR(('Data (Section A-H)'!I147/$I$100*$J$100),0)</f>
        <v>0</v>
      </c>
      <c r="P100" s="488">
        <f>IFERROR((MIN('Data (Section A-H)'!J147/(5*$I$100)*$J$100,$J$100)),0)</f>
        <v>0</v>
      </c>
    </row>
    <row r="101" spans="2:27" ht="21" customHeight="1" x14ac:dyDescent="0.2">
      <c r="B101" s="717">
        <v>2</v>
      </c>
      <c r="C101" s="469" t="s">
        <v>127</v>
      </c>
      <c r="D101" s="451" t="s">
        <v>136</v>
      </c>
      <c r="E101" s="718">
        <v>0.8</v>
      </c>
      <c r="F101" s="719">
        <v>1</v>
      </c>
      <c r="G101" s="720"/>
      <c r="H101" s="721" t="s">
        <v>266</v>
      </c>
      <c r="I101" s="474">
        <v>1</v>
      </c>
      <c r="J101" s="650">
        <f>$E$101*$F$101*$J$98</f>
        <v>2.4000000000000004</v>
      </c>
      <c r="K101" s="554">
        <f>IFERROR('Data (Section A-H)'!E148/$I$101*$J$101,0)</f>
        <v>0</v>
      </c>
      <c r="L101" s="554">
        <f>IFERROR('Data (Section A-H)'!F148/$I$101*$J$101,0)</f>
        <v>0</v>
      </c>
      <c r="M101" s="554">
        <f>IFERROR('Data (Section A-H)'!G148/$I$101*$J$101,0)</f>
        <v>0</v>
      </c>
      <c r="N101" s="554">
        <f>IFERROR('Data (Section A-H)'!H148/$I$101*$J$101,0)</f>
        <v>0</v>
      </c>
      <c r="O101" s="554">
        <f>IFERROR('Data (Section A-H)'!I148/$I$101*$J$101,0)</f>
        <v>0</v>
      </c>
      <c r="P101" s="554">
        <f>IFERROR((MIN('Data (Section A-H)'!J148/(5*$I$101)*$J$101,$J$101)),0)</f>
        <v>0</v>
      </c>
      <c r="AA101" s="82"/>
    </row>
    <row r="102" spans="2:27" ht="21" customHeight="1" x14ac:dyDescent="0.2">
      <c r="B102" s="722"/>
      <c r="C102" s="500"/>
      <c r="D102" s="723" t="s">
        <v>128</v>
      </c>
      <c r="E102" s="724"/>
      <c r="F102" s="725" t="s">
        <v>128</v>
      </c>
      <c r="G102" s="726"/>
      <c r="H102" s="726"/>
      <c r="I102" s="726"/>
      <c r="J102" s="726"/>
      <c r="K102" s="726"/>
      <c r="L102" s="726"/>
      <c r="M102" s="726"/>
      <c r="N102" s="726"/>
      <c r="O102" s="726"/>
      <c r="P102" s="727"/>
      <c r="AA102" s="82"/>
    </row>
    <row r="103" spans="2:27" ht="21" customHeight="1" x14ac:dyDescent="0.2">
      <c r="B103" s="722"/>
      <c r="C103" s="500"/>
      <c r="D103" s="523" t="s">
        <v>137</v>
      </c>
      <c r="E103" s="724"/>
      <c r="F103" s="639">
        <v>1</v>
      </c>
      <c r="G103" s="728"/>
      <c r="H103" s="729" t="s">
        <v>266</v>
      </c>
      <c r="I103" s="641">
        <v>1</v>
      </c>
      <c r="J103" s="643">
        <f>$E$101*$F$103*$J$98</f>
        <v>2.4000000000000004</v>
      </c>
      <c r="K103" s="730">
        <f>IFERROR('Data (Section A-H)'!E150/$I$103*$J$103,0)</f>
        <v>0</v>
      </c>
      <c r="L103" s="730">
        <f>IFERROR('Data (Section A-H)'!F150/$I$103*$J$103,0)</f>
        <v>0</v>
      </c>
      <c r="M103" s="730">
        <f>IFERROR('Data (Section A-H)'!G150/$I$103*$J$103,0)</f>
        <v>0</v>
      </c>
      <c r="N103" s="730">
        <f>IFERROR('Data (Section A-H)'!H150/$I$103*$J$103,0)</f>
        <v>0</v>
      </c>
      <c r="O103" s="730">
        <f>IFERROR('Data (Section A-H)'!I150/$I$103*$J$103,0)</f>
        <v>0</v>
      </c>
      <c r="P103" s="730">
        <f>IFERROR((MIN('Data (Section A-H)'!J150/(5*$I$103)*$J$103,$J$103)),0)</f>
        <v>0</v>
      </c>
      <c r="AA103" s="82"/>
    </row>
    <row r="104" spans="2:27" ht="21" customHeight="1" x14ac:dyDescent="0.2">
      <c r="B104" s="722"/>
      <c r="C104" s="500"/>
      <c r="D104" s="731" t="s">
        <v>128</v>
      </c>
      <c r="E104" s="724"/>
      <c r="F104" s="732" t="s">
        <v>128</v>
      </c>
      <c r="G104" s="733"/>
      <c r="H104" s="733"/>
      <c r="I104" s="733"/>
      <c r="J104" s="733"/>
      <c r="K104" s="733"/>
      <c r="L104" s="733"/>
      <c r="M104" s="733"/>
      <c r="N104" s="733"/>
      <c r="O104" s="733"/>
      <c r="P104" s="734"/>
      <c r="AA104" s="82"/>
    </row>
    <row r="105" spans="2:27" ht="50.25" customHeight="1" x14ac:dyDescent="0.2">
      <c r="B105" s="722"/>
      <c r="C105" s="500"/>
      <c r="D105" s="533" t="s">
        <v>260</v>
      </c>
      <c r="E105" s="724"/>
      <c r="F105" s="735">
        <v>1</v>
      </c>
      <c r="G105" s="736"/>
      <c r="H105" s="737" t="s">
        <v>64</v>
      </c>
      <c r="I105" s="422">
        <v>1</v>
      </c>
      <c r="J105" s="704">
        <f>$E$101*$F$105*$J$98</f>
        <v>2.4000000000000004</v>
      </c>
      <c r="K105" s="420">
        <f>IF('Data (Section A-H)'!E$152&gt;'Data (Section A-H)'!E$153,0,IFERROR(('Data (Section A-H)'!E152/($I$105*'Data (Section A-H)'!E153)*$J$105),0))</f>
        <v>0</v>
      </c>
      <c r="L105" s="420">
        <f>IF('Data (Section A-H)'!F$152&gt;'Data (Section A-H)'!F$153,0,IFERROR(('Data (Section A-H)'!F152/($I$105*'Data (Section A-H)'!F153)*$J$105),0))</f>
        <v>0</v>
      </c>
      <c r="M105" s="420">
        <f>IF('Data (Section A-H)'!G$152&gt;'Data (Section A-H)'!G$153,0,IFERROR(('Data (Section A-H)'!G152/($I$105*'Data (Section A-H)'!G153)*$J$105),0))</f>
        <v>0</v>
      </c>
      <c r="N105" s="420">
        <f>IF('Data (Section A-H)'!H$152&gt;'Data (Section A-H)'!H$153,0,IFERROR(('Data (Section A-H)'!H152/($I$105*'Data (Section A-H)'!H153)*$J$105),0))</f>
        <v>0</v>
      </c>
      <c r="O105" s="420">
        <f>IF('Data (Section A-H)'!I$152&gt;'Data (Section A-H)'!I$153,0,IFERROR(('Data (Section A-H)'!I152/($I$105*'Data (Section A-H)'!I153)*$J$105),0))</f>
        <v>0</v>
      </c>
      <c r="P105" s="420">
        <f>IF('Data (Section A-H)'!J$152&gt;'Data (Section A-H)'!J$153,0,IFERROR((MIN('Data (Section A-H)'!J152/($I$105*'Data (Section A-H)'!J153)*$J$105,$J$105)),0))</f>
        <v>0</v>
      </c>
      <c r="AA105" s="82"/>
    </row>
    <row r="106" spans="2:27" ht="23.45" customHeight="1" x14ac:dyDescent="0.2">
      <c r="B106" s="722"/>
      <c r="C106" s="500"/>
      <c r="D106" s="731" t="s">
        <v>128</v>
      </c>
      <c r="E106" s="724"/>
      <c r="F106" s="732" t="s">
        <v>128</v>
      </c>
      <c r="G106" s="733"/>
      <c r="H106" s="733"/>
      <c r="I106" s="733"/>
      <c r="J106" s="733"/>
      <c r="K106" s="733"/>
      <c r="L106" s="733"/>
      <c r="M106" s="733"/>
      <c r="N106" s="733"/>
      <c r="O106" s="733"/>
      <c r="P106" s="734"/>
      <c r="AA106" s="83"/>
    </row>
    <row r="107" spans="2:27" ht="50.25" customHeight="1" thickBot="1" x14ac:dyDescent="0.25">
      <c r="B107" s="722"/>
      <c r="C107" s="500"/>
      <c r="D107" s="533" t="s">
        <v>234</v>
      </c>
      <c r="E107" s="724"/>
      <c r="F107" s="735">
        <v>1</v>
      </c>
      <c r="G107" s="736"/>
      <c r="H107" s="737" t="s">
        <v>64</v>
      </c>
      <c r="I107" s="422">
        <v>0.8</v>
      </c>
      <c r="J107" s="704">
        <f>$E$101*$F$107*$J$98</f>
        <v>2.4000000000000004</v>
      </c>
      <c r="K107" s="431">
        <f>IFERROR('Data (Section A-H)'!E155/$I$107*$J$107,0)</f>
        <v>0</v>
      </c>
      <c r="L107" s="431">
        <f>IFERROR('Data (Section A-H)'!F155/$I$107*$J$107,0)</f>
        <v>0</v>
      </c>
      <c r="M107" s="431">
        <f>IFERROR('Data (Section A-H)'!G155/$I$107*$J$107,0)</f>
        <v>0</v>
      </c>
      <c r="N107" s="431">
        <f>IFERROR('Data (Section A-H)'!H155/$I$107*$J$107,0)</f>
        <v>0</v>
      </c>
      <c r="O107" s="431">
        <f>IFERROR('Data (Section A-H)'!I155/$I$107*$J$107,0)</f>
        <v>0</v>
      </c>
      <c r="P107" s="431">
        <f>IFERROR('Data (Section A-H)'!J155/$I$107*$J$107,0)</f>
        <v>0</v>
      </c>
      <c r="AA107" s="84"/>
    </row>
    <row r="108" spans="2:27" ht="29.25" customHeight="1" thickBot="1" x14ac:dyDescent="0.25">
      <c r="B108" s="738"/>
      <c r="C108" s="739"/>
      <c r="D108" s="739"/>
      <c r="E108" s="739"/>
      <c r="F108" s="739"/>
      <c r="G108" s="739"/>
      <c r="H108" s="739"/>
      <c r="I108" s="739"/>
      <c r="J108" s="739"/>
      <c r="K108" s="739"/>
      <c r="L108" s="739"/>
      <c r="M108" s="739"/>
      <c r="N108" s="739"/>
      <c r="O108" s="740"/>
      <c r="P108" s="741">
        <f>MAX(P101,P103,P105,P107)</f>
        <v>0</v>
      </c>
      <c r="AA108" s="84"/>
    </row>
    <row r="109" spans="2:27" ht="30" customHeight="1" thickBot="1" x14ac:dyDescent="0.25">
      <c r="B109" s="742" t="s">
        <v>140</v>
      </c>
      <c r="C109" s="743"/>
      <c r="D109" s="743"/>
      <c r="E109" s="744">
        <f>SUM(E100:E105)</f>
        <v>1</v>
      </c>
      <c r="F109" s="745"/>
      <c r="G109" s="745"/>
      <c r="H109" s="745"/>
      <c r="I109" s="745"/>
      <c r="J109" s="635">
        <f t="shared" ref="J109:O109" si="6">IF(SUM(J100:J107)&gt;3,3,SUM(J100:J107))</f>
        <v>3</v>
      </c>
      <c r="K109" s="635">
        <f t="shared" si="6"/>
        <v>0</v>
      </c>
      <c r="L109" s="635">
        <f t="shared" si="6"/>
        <v>0</v>
      </c>
      <c r="M109" s="635">
        <f t="shared" si="6"/>
        <v>0</v>
      </c>
      <c r="N109" s="635">
        <f t="shared" si="6"/>
        <v>0</v>
      </c>
      <c r="O109" s="635">
        <f t="shared" si="6"/>
        <v>0</v>
      </c>
      <c r="P109" s="746">
        <f>P100+P108</f>
        <v>0</v>
      </c>
    </row>
    <row r="110" spans="2:27" x14ac:dyDescent="0.2">
      <c r="B110" s="112"/>
      <c r="C110" s="111"/>
      <c r="D110" s="111"/>
      <c r="E110" s="111"/>
      <c r="F110" s="111"/>
      <c r="G110" s="111"/>
      <c r="H110" s="113"/>
      <c r="I110" s="112"/>
      <c r="J110" s="380"/>
      <c r="K110" s="381"/>
      <c r="L110" s="381"/>
      <c r="M110" s="381"/>
      <c r="N110" s="381"/>
      <c r="O110" s="381"/>
      <c r="P110" s="381"/>
    </row>
    <row r="111" spans="2:27" x14ac:dyDescent="0.2">
      <c r="B111" s="112"/>
      <c r="C111" s="111"/>
      <c r="D111" s="111"/>
      <c r="E111" s="111"/>
      <c r="F111" s="111"/>
      <c r="G111" s="111"/>
      <c r="H111" s="113"/>
      <c r="I111" s="112"/>
      <c r="J111" s="380"/>
      <c r="K111" s="381"/>
      <c r="L111" s="381"/>
      <c r="M111" s="381"/>
      <c r="N111" s="381"/>
      <c r="O111" s="381"/>
      <c r="P111" s="381"/>
    </row>
    <row r="112" spans="2:27" x14ac:dyDescent="0.2">
      <c r="B112" s="112"/>
      <c r="C112" s="111"/>
      <c r="D112" s="111"/>
      <c r="E112" s="111"/>
      <c r="F112" s="111"/>
      <c r="G112" s="111"/>
      <c r="H112" s="113"/>
      <c r="I112" s="112"/>
      <c r="J112" s="380"/>
      <c r="K112" s="381"/>
      <c r="L112" s="381"/>
      <c r="M112" s="381"/>
      <c r="N112" s="381"/>
      <c r="O112" s="381"/>
      <c r="P112" s="381"/>
    </row>
    <row r="113" spans="2:16" x14ac:dyDescent="0.2">
      <c r="B113" s="112"/>
      <c r="C113" s="111"/>
      <c r="D113" s="111"/>
      <c r="E113" s="111"/>
      <c r="F113" s="111"/>
      <c r="G113" s="111"/>
      <c r="H113" s="113"/>
      <c r="I113" s="112"/>
      <c r="J113" s="380"/>
      <c r="K113" s="381"/>
      <c r="L113" s="381"/>
      <c r="M113" s="381"/>
      <c r="N113" s="381"/>
      <c r="O113" s="381"/>
      <c r="P113" s="381"/>
    </row>
    <row r="114" spans="2:16" x14ac:dyDescent="0.2">
      <c r="B114" s="112"/>
      <c r="C114" s="111"/>
      <c r="D114" s="111"/>
      <c r="E114" s="111"/>
      <c r="F114" s="111"/>
      <c r="G114" s="111"/>
      <c r="H114" s="113"/>
      <c r="I114" s="112"/>
      <c r="J114" s="380"/>
      <c r="K114" s="381"/>
      <c r="L114" s="381"/>
      <c r="M114" s="381"/>
      <c r="N114" s="381"/>
      <c r="O114" s="381"/>
      <c r="P114" s="381"/>
    </row>
    <row r="115" spans="2:16" x14ac:dyDescent="0.2">
      <c r="B115" s="112"/>
      <c r="C115" s="111"/>
      <c r="D115" s="111"/>
      <c r="E115" s="111"/>
      <c r="F115" s="111"/>
      <c r="G115" s="111"/>
      <c r="H115" s="113"/>
      <c r="I115" s="112"/>
      <c r="J115" s="380"/>
      <c r="K115" s="381"/>
      <c r="L115" s="381"/>
      <c r="M115" s="381"/>
      <c r="N115" s="381"/>
      <c r="O115" s="381"/>
      <c r="P115" s="381"/>
    </row>
    <row r="116" spans="2:16" x14ac:dyDescent="0.2">
      <c r="B116" s="112"/>
      <c r="C116" s="111"/>
      <c r="D116" s="111"/>
      <c r="E116" s="111"/>
      <c r="F116" s="111"/>
      <c r="G116" s="111"/>
      <c r="H116" s="113"/>
      <c r="I116" s="112"/>
      <c r="J116" s="380"/>
      <c r="K116" s="381"/>
      <c r="L116" s="381"/>
      <c r="M116" s="381"/>
      <c r="N116" s="381"/>
      <c r="O116" s="381"/>
      <c r="P116" s="381"/>
    </row>
    <row r="117" spans="2:16" x14ac:dyDescent="0.2">
      <c r="B117" s="112"/>
      <c r="C117" s="111"/>
      <c r="D117" s="111"/>
      <c r="E117" s="111"/>
      <c r="F117" s="111"/>
      <c r="G117" s="111"/>
      <c r="H117" s="113"/>
      <c r="I117" s="112"/>
      <c r="J117" s="380"/>
      <c r="K117" s="381"/>
      <c r="L117" s="381"/>
      <c r="M117" s="381"/>
      <c r="N117" s="381"/>
      <c r="O117" s="381"/>
      <c r="P117" s="381"/>
    </row>
    <row r="118" spans="2:16" x14ac:dyDescent="0.2">
      <c r="B118" s="112"/>
      <c r="C118" s="111"/>
      <c r="D118" s="111"/>
      <c r="E118" s="111"/>
      <c r="F118" s="111"/>
      <c r="G118" s="111"/>
      <c r="H118" s="113"/>
      <c r="I118" s="112"/>
      <c r="J118" s="380"/>
      <c r="K118" s="381"/>
      <c r="L118" s="381"/>
      <c r="M118" s="381"/>
      <c r="N118" s="381"/>
      <c r="O118" s="381"/>
      <c r="P118" s="381"/>
    </row>
  </sheetData>
  <sheetProtection algorithmName="SHA-512" hashValue="RM2+tjaKiYNAz18fBBDCPRYbBc867/uM9zAAmrOzQsxM7U5cddICTItPjlOyASc+O9QDbQr9f/RownCgM3YZiA==" saltValue="KSICrkFOVEE4mlcafD1zpg==" spinCount="100000" sheet="1" selectLockedCells="1" selectUnlockedCells="1"/>
  <mergeCells count="109">
    <mergeCell ref="E10:E14"/>
    <mergeCell ref="K27:O27"/>
    <mergeCell ref="E16:E17"/>
    <mergeCell ref="P27:P28"/>
    <mergeCell ref="N62:N64"/>
    <mergeCell ref="K57:O57"/>
    <mergeCell ref="K74:O74"/>
    <mergeCell ref="P86:P87"/>
    <mergeCell ref="P74:P75"/>
    <mergeCell ref="P57:P58"/>
    <mergeCell ref="K59:K61"/>
    <mergeCell ref="O59:O61"/>
    <mergeCell ref="M59:M61"/>
    <mergeCell ref="P48:P49"/>
    <mergeCell ref="K48:O48"/>
    <mergeCell ref="N59:N61"/>
    <mergeCell ref="O62:O64"/>
    <mergeCell ref="L59:L61"/>
    <mergeCell ref="P62:P64"/>
    <mergeCell ref="L62:L64"/>
    <mergeCell ref="K67:O67"/>
    <mergeCell ref="B48:I48"/>
    <mergeCell ref="F33:F34"/>
    <mergeCell ref="B50:B51"/>
    <mergeCell ref="B2:P2"/>
    <mergeCell ref="B3:P3"/>
    <mergeCell ref="H10:H14"/>
    <mergeCell ref="C16:C17"/>
    <mergeCell ref="C41:C43"/>
    <mergeCell ref="B29:B40"/>
    <mergeCell ref="H18:H20"/>
    <mergeCell ref="E21:E22"/>
    <mergeCell ref="B23:D23"/>
    <mergeCell ref="B8:I8"/>
    <mergeCell ref="C18:C20"/>
    <mergeCell ref="E18:E20"/>
    <mergeCell ref="F30:F31"/>
    <mergeCell ref="C29:C40"/>
    <mergeCell ref="B10:B15"/>
    <mergeCell ref="B16:B17"/>
    <mergeCell ref="C10:C15"/>
    <mergeCell ref="K8:O8"/>
    <mergeCell ref="P8:P9"/>
    <mergeCell ref="K39:O39"/>
    <mergeCell ref="B27:I27"/>
    <mergeCell ref="B21:B22"/>
    <mergeCell ref="C21:C22"/>
    <mergeCell ref="B18:B20"/>
    <mergeCell ref="E41:E43"/>
    <mergeCell ref="F37:F38"/>
    <mergeCell ref="E29:E40"/>
    <mergeCell ref="E50:E51"/>
    <mergeCell ref="B44:D44"/>
    <mergeCell ref="B41:B43"/>
    <mergeCell ref="C50:C51"/>
    <mergeCell ref="B109:D109"/>
    <mergeCell ref="E101:E107"/>
    <mergeCell ref="F102:P102"/>
    <mergeCell ref="B108:O108"/>
    <mergeCell ref="F109:I109"/>
    <mergeCell ref="B94:D94"/>
    <mergeCell ref="F94:I94"/>
    <mergeCell ref="B98:I98"/>
    <mergeCell ref="K86:O86"/>
    <mergeCell ref="C101:C107"/>
    <mergeCell ref="B101:B107"/>
    <mergeCell ref="H88:H89"/>
    <mergeCell ref="H91:H93"/>
    <mergeCell ref="K98:O98"/>
    <mergeCell ref="B88:B93"/>
    <mergeCell ref="C88:C93"/>
    <mergeCell ref="E88:E93"/>
    <mergeCell ref="P98:P99"/>
    <mergeCell ref="F104:P104"/>
    <mergeCell ref="F106:P106"/>
    <mergeCell ref="E62:E64"/>
    <mergeCell ref="J59:J61"/>
    <mergeCell ref="E80:E81"/>
    <mergeCell ref="C78:C79"/>
    <mergeCell ref="H59:H61"/>
    <mergeCell ref="J62:J64"/>
    <mergeCell ref="M62:M64"/>
    <mergeCell ref="I59:I61"/>
    <mergeCell ref="K62:K64"/>
    <mergeCell ref="I62:I64"/>
    <mergeCell ref="AD62:AD64"/>
    <mergeCell ref="AC62:AC64"/>
    <mergeCell ref="AB62:AB64"/>
    <mergeCell ref="AA62:AA64"/>
    <mergeCell ref="K90:O90"/>
    <mergeCell ref="B53:D53"/>
    <mergeCell ref="E59:E61"/>
    <mergeCell ref="F59:F61"/>
    <mergeCell ref="B82:D82"/>
    <mergeCell ref="F82:I82"/>
    <mergeCell ref="B70:D70"/>
    <mergeCell ref="F62:F64"/>
    <mergeCell ref="H80:H81"/>
    <mergeCell ref="E78:E79"/>
    <mergeCell ref="B57:I57"/>
    <mergeCell ref="B74:I74"/>
    <mergeCell ref="B86:I86"/>
    <mergeCell ref="C59:C66"/>
    <mergeCell ref="P59:P61"/>
    <mergeCell ref="B59:B66"/>
    <mergeCell ref="K80:O80"/>
    <mergeCell ref="K81:O81"/>
    <mergeCell ref="B78:B79"/>
    <mergeCell ref="H62:H64"/>
  </mergeCells>
  <conditionalFormatting sqref="K51:O53 P41:P43 P88:P93 P105 K23:O23 K19:K20 L19:O19 L51:P52 P107 K100:P101 K103:P103 K15:P17">
    <cfRule type="cellIs" dxfId="99" priority="157" stopIfTrue="1" operator="between">
      <formula>($J15)*0.6</formula>
      <formula>($J15)*0.8</formula>
    </cfRule>
    <cfRule type="cellIs" dxfId="98" priority="161" stopIfTrue="1" operator="between">
      <formula>($J15)*0.8</formula>
      <formula>($J15)</formula>
    </cfRule>
    <cfRule type="cellIs" dxfId="97" priority="162" stopIfTrue="1" operator="greaterThan">
      <formula>$J15</formula>
    </cfRule>
    <cfRule type="cellIs" dxfId="96" priority="163" stopIfTrue="1" operator="lessThan">
      <formula>($J15)*0.6</formula>
    </cfRule>
  </conditionalFormatting>
  <conditionalFormatting sqref="K11:O13">
    <cfRule type="cellIs" dxfId="95" priority="149" stopIfTrue="1" operator="between">
      <formula>($J11)*0.6</formula>
      <formula>($J11)*0.8</formula>
    </cfRule>
    <cfRule type="cellIs" dxfId="94" priority="150" stopIfTrue="1" operator="between">
      <formula>($J11)*0.8</formula>
      <formula>($J11)</formula>
    </cfRule>
    <cfRule type="cellIs" dxfId="93" priority="151" stopIfTrue="1" operator="greaterThan">
      <formula>$J11</formula>
    </cfRule>
    <cfRule type="cellIs" dxfId="92" priority="152" stopIfTrue="1" operator="lessThan">
      <formula>($J11)*0.6</formula>
    </cfRule>
  </conditionalFormatting>
  <conditionalFormatting sqref="L20:O20 K14:O14">
    <cfRule type="cellIs" dxfId="91" priority="141" stopIfTrue="1" operator="between">
      <formula>($J14)*0.6</formula>
      <formula>($J14)*0.8</formula>
    </cfRule>
    <cfRule type="cellIs" dxfId="90" priority="142" stopIfTrue="1" operator="between">
      <formula>($J14)*0.8</formula>
      <formula>($J14)</formula>
    </cfRule>
    <cfRule type="cellIs" dxfId="89" priority="143" stopIfTrue="1" operator="greaterThan">
      <formula>$J14</formula>
    </cfRule>
    <cfRule type="cellIs" dxfId="88" priority="144" stopIfTrue="1" operator="lessThan">
      <formula>($J14)*0.6</formula>
    </cfRule>
  </conditionalFormatting>
  <conditionalFormatting sqref="K30:P31">
    <cfRule type="cellIs" dxfId="87" priority="133" stopIfTrue="1" operator="between">
      <formula>($J30)*0.6</formula>
      <formula>($J30)*0.8</formula>
    </cfRule>
    <cfRule type="cellIs" dxfId="86" priority="134" stopIfTrue="1" operator="between">
      <formula>($J30)*0.8</formula>
      <formula>($J30)</formula>
    </cfRule>
    <cfRule type="cellIs" dxfId="85" priority="135" stopIfTrue="1" operator="greaterThan">
      <formula>$J30</formula>
    </cfRule>
    <cfRule type="cellIs" dxfId="84" priority="136" stopIfTrue="1" operator="lessThan">
      <formula>($J30)*0.6</formula>
    </cfRule>
  </conditionalFormatting>
  <conditionalFormatting sqref="K33:O35">
    <cfRule type="cellIs" dxfId="83" priority="125" stopIfTrue="1" operator="between">
      <formula>($J33)*0.6</formula>
      <formula>($J33)*0.8</formula>
    </cfRule>
    <cfRule type="cellIs" dxfId="82" priority="126" stopIfTrue="1" operator="between">
      <formula>($J33)*0.8</formula>
      <formula>($J33)</formula>
    </cfRule>
    <cfRule type="cellIs" dxfId="81" priority="127" stopIfTrue="1" operator="greaterThan">
      <formula>$J33</formula>
    </cfRule>
    <cfRule type="cellIs" dxfId="80" priority="128" stopIfTrue="1" operator="lessThan">
      <formula>($J33)*0.6</formula>
    </cfRule>
  </conditionalFormatting>
  <conditionalFormatting sqref="K37:O38 K39">
    <cfRule type="cellIs" dxfId="79" priority="117" stopIfTrue="1" operator="between">
      <formula>($J37)*0.6</formula>
      <formula>($J37)*0.8</formula>
    </cfRule>
    <cfRule type="cellIs" dxfId="78" priority="118" stopIfTrue="1" operator="between">
      <formula>($J37)*0.8</formula>
      <formula>($J37)</formula>
    </cfRule>
    <cfRule type="cellIs" dxfId="77" priority="119" stopIfTrue="1" operator="greaterThan">
      <formula>$J37</formula>
    </cfRule>
    <cfRule type="cellIs" dxfId="76" priority="120" stopIfTrue="1" operator="lessThan">
      <formula>($J37)*0.6</formula>
    </cfRule>
  </conditionalFormatting>
  <conditionalFormatting sqref="K40:K44 L40:O43">
    <cfRule type="cellIs" dxfId="75" priority="109" stopIfTrue="1" operator="between">
      <formula>($J40)*0.6</formula>
      <formula>($J40)*0.8</formula>
    </cfRule>
    <cfRule type="cellIs" dxfId="74" priority="110" stopIfTrue="1" operator="between">
      <formula>($J40)*0.8</formula>
      <formula>($J40)</formula>
    </cfRule>
    <cfRule type="cellIs" dxfId="73" priority="111" stopIfTrue="1" operator="greaterThan">
      <formula>$J40</formula>
    </cfRule>
    <cfRule type="cellIs" dxfId="72" priority="112" stopIfTrue="1" operator="lessThan">
      <formula>($J40)*0.6</formula>
    </cfRule>
  </conditionalFormatting>
  <conditionalFormatting sqref="L44:O44">
    <cfRule type="cellIs" dxfId="71" priority="105" stopIfTrue="1" operator="between">
      <formula>($J44)*0.6</formula>
      <formula>($J44)*0.8</formula>
    </cfRule>
    <cfRule type="cellIs" dxfId="70" priority="106" stopIfTrue="1" operator="between">
      <formula>($J44)*0.8</formula>
      <formula>($J44)</formula>
    </cfRule>
    <cfRule type="cellIs" dxfId="69" priority="107" stopIfTrue="1" operator="greaterThan">
      <formula>$J44</formula>
    </cfRule>
    <cfRule type="cellIs" dxfId="68" priority="108" stopIfTrue="1" operator="lessThan">
      <formula>($J44)*0.6</formula>
    </cfRule>
  </conditionalFormatting>
  <conditionalFormatting sqref="K50:P50">
    <cfRule type="cellIs" dxfId="67" priority="101" stopIfTrue="1" operator="between">
      <formula>($J50)*0.6</formula>
      <formula>($J50)*0.8</formula>
    </cfRule>
    <cfRule type="cellIs" dxfId="66" priority="102" stopIfTrue="1" operator="between">
      <formula>($J50)*0.8</formula>
      <formula>($J50)</formula>
    </cfRule>
    <cfRule type="cellIs" dxfId="65" priority="103" stopIfTrue="1" operator="greaterThan">
      <formula>$J50</formula>
    </cfRule>
    <cfRule type="cellIs" dxfId="64" priority="104" stopIfTrue="1" operator="lessThan">
      <formula>($J50)*0.6</formula>
    </cfRule>
  </conditionalFormatting>
  <conditionalFormatting sqref="K65:K70 L65:P66 L68:P69 P67">
    <cfRule type="cellIs" dxfId="63" priority="85" stopIfTrue="1" operator="between">
      <formula>($J65)*0.6</formula>
      <formula>($J65)*0.8</formula>
    </cfRule>
    <cfRule type="cellIs" dxfId="62" priority="86" stopIfTrue="1" operator="between">
      <formula>($J65)*0.8</formula>
      <formula>($J65)</formula>
    </cfRule>
    <cfRule type="cellIs" dxfId="61" priority="87" stopIfTrue="1" operator="greaterThan">
      <formula>$J65</formula>
    </cfRule>
    <cfRule type="cellIs" dxfId="60" priority="88" stopIfTrue="1" operator="lessThan">
      <formula>($J65)*0.6</formula>
    </cfRule>
  </conditionalFormatting>
  <conditionalFormatting sqref="L70:O70">
    <cfRule type="cellIs" dxfId="59" priority="81" stopIfTrue="1" operator="between">
      <formula>($J70)*0.6</formula>
      <formula>($J70)*0.8</formula>
    </cfRule>
    <cfRule type="cellIs" dxfId="58" priority="82" stopIfTrue="1" operator="between">
      <formula>($J70)*0.8</formula>
      <formula>($J70)</formula>
    </cfRule>
    <cfRule type="cellIs" dxfId="57" priority="83" stopIfTrue="1" operator="greaterThan">
      <formula>$J70</formula>
    </cfRule>
    <cfRule type="cellIs" dxfId="56" priority="84" stopIfTrue="1" operator="lessThan">
      <formula>($J70)*0.6</formula>
    </cfRule>
  </conditionalFormatting>
  <conditionalFormatting sqref="K82:O82 P80:P81 K80:K81">
    <cfRule type="cellIs" dxfId="55" priority="77" stopIfTrue="1" operator="between">
      <formula>($J80)*0.6</formula>
      <formula>($J80)*0.8</formula>
    </cfRule>
    <cfRule type="cellIs" dxfId="54" priority="78" stopIfTrue="1" operator="between">
      <formula>($J80)*0.8</formula>
      <formula>($J80)</formula>
    </cfRule>
    <cfRule type="cellIs" dxfId="53" priority="79" stopIfTrue="1" operator="greaterThan">
      <formula>$J80</formula>
    </cfRule>
    <cfRule type="cellIs" dxfId="52" priority="80" stopIfTrue="1" operator="lessThan">
      <formula>($J80)*0.6</formula>
    </cfRule>
  </conditionalFormatting>
  <conditionalFormatting sqref="K88:K94 L88:O89 L91:O93">
    <cfRule type="cellIs" dxfId="51" priority="69" stopIfTrue="1" operator="between">
      <formula>($J88)*0.6</formula>
      <formula>($J88)*0.8</formula>
    </cfRule>
    <cfRule type="cellIs" dxfId="50" priority="70" stopIfTrue="1" operator="between">
      <formula>($J88)*0.8</formula>
      <formula>($J88)</formula>
    </cfRule>
    <cfRule type="cellIs" dxfId="49" priority="71" stopIfTrue="1" operator="greaterThan">
      <formula>$J88</formula>
    </cfRule>
    <cfRule type="cellIs" dxfId="48" priority="72" stopIfTrue="1" operator="lessThan">
      <formula>($J88)*0.6</formula>
    </cfRule>
  </conditionalFormatting>
  <conditionalFormatting sqref="L94:O94">
    <cfRule type="cellIs" dxfId="47" priority="65" stopIfTrue="1" operator="between">
      <formula>($J94)*0.6</formula>
      <formula>($J94)*0.8</formula>
    </cfRule>
    <cfRule type="cellIs" dxfId="46" priority="66" stopIfTrue="1" operator="between">
      <formula>($J94)*0.8</formula>
      <formula>($J94)</formula>
    </cfRule>
    <cfRule type="cellIs" dxfId="45" priority="67" stopIfTrue="1" operator="greaterThan">
      <formula>$J94</formula>
    </cfRule>
    <cfRule type="cellIs" dxfId="44" priority="68" stopIfTrue="1" operator="lessThan">
      <formula>($J94)*0.6</formula>
    </cfRule>
  </conditionalFormatting>
  <conditionalFormatting sqref="K105:O105">
    <cfRule type="cellIs" dxfId="43" priority="61" stopIfTrue="1" operator="between">
      <formula>($J105)*0.6</formula>
      <formula>($J105)*0.8</formula>
    </cfRule>
    <cfRule type="cellIs" dxfId="42" priority="62" stopIfTrue="1" operator="between">
      <formula>($J105)*0.8</formula>
      <formula>($J105)</formula>
    </cfRule>
    <cfRule type="cellIs" dxfId="41" priority="63" stopIfTrue="1" operator="greaterThan">
      <formula>$J103</formula>
    </cfRule>
    <cfRule type="cellIs" dxfId="40" priority="64" stopIfTrue="1" operator="lessThan">
      <formula>($J105)*0.6</formula>
    </cfRule>
  </conditionalFormatting>
  <conditionalFormatting sqref="K21:O22">
    <cfRule type="cellIs" dxfId="39" priority="49" stopIfTrue="1" operator="between">
      <formula>($J21)*0.6</formula>
      <formula>($J21)*0.8</formula>
    </cfRule>
    <cfRule type="cellIs" dxfId="38" priority="50" stopIfTrue="1" operator="between">
      <formula>($J21)*0.8</formula>
      <formula>($J21)</formula>
    </cfRule>
    <cfRule type="cellIs" dxfId="37" priority="51" stopIfTrue="1" operator="greaterThan">
      <formula>$J21</formula>
    </cfRule>
    <cfRule type="cellIs" dxfId="36" priority="52" stopIfTrue="1" operator="lessThan">
      <formula>($J21)*0.6</formula>
    </cfRule>
  </conditionalFormatting>
  <conditionalFormatting sqref="K76:P78 P79">
    <cfRule type="cellIs" dxfId="35" priority="45" stopIfTrue="1" operator="between">
      <formula>($J76)*0.6</formula>
      <formula>($J76)*0.8</formula>
    </cfRule>
    <cfRule type="cellIs" dxfId="34" priority="46" stopIfTrue="1" operator="between">
      <formula>($J76)*0.8</formula>
      <formula>($J76)</formula>
    </cfRule>
    <cfRule type="cellIs" dxfId="33" priority="47" stopIfTrue="1" operator="greaterThan">
      <formula>$J76</formula>
    </cfRule>
    <cfRule type="cellIs" dxfId="32" priority="48" stopIfTrue="1" operator="lessThan">
      <formula>($J76)*0.6</formula>
    </cfRule>
  </conditionalFormatting>
  <conditionalFormatting sqref="K79:O79">
    <cfRule type="cellIs" dxfId="31" priority="41" stopIfTrue="1" operator="between">
      <formula>($J79)*0.6</formula>
      <formula>($J79)*0.8</formula>
    </cfRule>
    <cfRule type="cellIs" dxfId="30" priority="42" stopIfTrue="1" operator="between">
      <formula>($J79)*0.8</formula>
      <formula>($J79)</formula>
    </cfRule>
    <cfRule type="cellIs" dxfId="29" priority="43" stopIfTrue="1" operator="greaterThan">
      <formula>$J79</formula>
    </cfRule>
    <cfRule type="cellIs" dxfId="28" priority="44" stopIfTrue="1" operator="lessThan">
      <formula>($J79)*0.6</formula>
    </cfRule>
  </conditionalFormatting>
  <conditionalFormatting sqref="P11:P13">
    <cfRule type="cellIs" dxfId="27" priority="37" stopIfTrue="1" operator="between">
      <formula>($J11)*0.6</formula>
      <formula>($J11)*0.8</formula>
    </cfRule>
    <cfRule type="cellIs" dxfId="26" priority="38" stopIfTrue="1" operator="between">
      <formula>($J11)*0.8</formula>
      <formula>($J11)</formula>
    </cfRule>
    <cfRule type="cellIs" dxfId="25" priority="39" stopIfTrue="1" operator="greaterThan">
      <formula>$J11</formula>
    </cfRule>
    <cfRule type="cellIs" dxfId="24" priority="40" stopIfTrue="1" operator="lessThan">
      <formula>($J11)*0.6</formula>
    </cfRule>
  </conditionalFormatting>
  <conditionalFormatting sqref="P14">
    <cfRule type="cellIs" dxfId="23" priority="33" stopIfTrue="1" operator="between">
      <formula>($J14)*0.6</formula>
      <formula>($J14)*0.8</formula>
    </cfRule>
    <cfRule type="cellIs" dxfId="22" priority="34" stopIfTrue="1" operator="between">
      <formula>($J14)*0.8</formula>
      <formula>($J14)</formula>
    </cfRule>
    <cfRule type="cellIs" dxfId="21" priority="35" stopIfTrue="1" operator="greaterThan">
      <formula>$J14</formula>
    </cfRule>
    <cfRule type="cellIs" dxfId="20" priority="36" stopIfTrue="1" operator="lessThan">
      <formula>($J14)*0.6</formula>
    </cfRule>
  </conditionalFormatting>
  <conditionalFormatting sqref="P23">
    <cfRule type="cellIs" dxfId="19" priority="29" stopIfTrue="1" operator="between">
      <formula>($J23)*0.6</formula>
      <formula>($J23)*0.8</formula>
    </cfRule>
    <cfRule type="cellIs" dxfId="18" priority="30" stopIfTrue="1" operator="between">
      <formula>($J23)*0.8</formula>
      <formula>($J23)</formula>
    </cfRule>
    <cfRule type="cellIs" dxfId="17" priority="31" stopIfTrue="1" operator="greaterThan">
      <formula>$J23</formula>
    </cfRule>
    <cfRule type="cellIs" dxfId="16" priority="32" stopIfTrue="1" operator="lessThan">
      <formula>($J23)*0.6</formula>
    </cfRule>
  </conditionalFormatting>
  <conditionalFormatting sqref="P19:P20">
    <cfRule type="cellIs" dxfId="15" priority="25" stopIfTrue="1" operator="between">
      <formula>($J19)*0.6</formula>
      <formula>($J19)*0.8</formula>
    </cfRule>
    <cfRule type="cellIs" dxfId="14" priority="26" stopIfTrue="1" operator="between">
      <formula>($J19)*0.8</formula>
      <formula>($J19)</formula>
    </cfRule>
    <cfRule type="cellIs" dxfId="13" priority="27" stopIfTrue="1" operator="greaterThan">
      <formula>$J19</formula>
    </cfRule>
    <cfRule type="cellIs" dxfId="12" priority="28" stopIfTrue="1" operator="lessThan">
      <formula>($J19)*0.6</formula>
    </cfRule>
  </conditionalFormatting>
  <conditionalFormatting sqref="P21:P22">
    <cfRule type="cellIs" dxfId="11" priority="21" stopIfTrue="1" operator="between">
      <formula>($J21)*0.6</formula>
      <formula>($J21)*0.8</formula>
    </cfRule>
    <cfRule type="cellIs" dxfId="10" priority="22" stopIfTrue="1" operator="between">
      <formula>($J21)*0.8</formula>
      <formula>($J21)</formula>
    </cfRule>
    <cfRule type="cellIs" dxfId="9" priority="23" stopIfTrue="1" operator="greaterThan">
      <formula>$J21</formula>
    </cfRule>
    <cfRule type="cellIs" dxfId="8" priority="24" stopIfTrue="1" operator="lessThan">
      <formula>($J21)*0.6</formula>
    </cfRule>
  </conditionalFormatting>
  <conditionalFormatting sqref="P33:P40">
    <cfRule type="cellIs" dxfId="7" priority="17" stopIfTrue="1" operator="between">
      <formula>($J33)*0.6</formula>
      <formula>($J33)*0.8</formula>
    </cfRule>
    <cfRule type="cellIs" dxfId="6" priority="18" stopIfTrue="1" operator="between">
      <formula>($J33)*0.8</formula>
      <formula>($J33)</formula>
    </cfRule>
    <cfRule type="cellIs" dxfId="5" priority="19" stopIfTrue="1" operator="greaterThan">
      <formula>$J33</formula>
    </cfRule>
    <cfRule type="cellIs" dxfId="4" priority="20" stopIfTrue="1" operator="lessThan">
      <formula>($J33)*0.6</formula>
    </cfRule>
  </conditionalFormatting>
  <conditionalFormatting sqref="K107:O107">
    <cfRule type="cellIs" dxfId="3" priority="176" stopIfTrue="1" operator="between">
      <formula>($J107)*0.6</formula>
      <formula>($J107)*0.8</formula>
    </cfRule>
    <cfRule type="cellIs" dxfId="2" priority="177" stopIfTrue="1" operator="between">
      <formula>($J107)*0.8</formula>
      <formula>($J107)</formula>
    </cfRule>
    <cfRule type="cellIs" dxfId="1" priority="178" stopIfTrue="1" operator="greaterThan">
      <formula>$J104</formula>
    </cfRule>
    <cfRule type="cellIs" dxfId="0" priority="179" stopIfTrue="1" operator="lessThan">
      <formula>($J107)*0.6</formula>
    </cfRule>
  </conditionalFormatting>
  <printOptions horizontalCentered="1"/>
  <pageMargins left="0.196850393700787" right="0.196850393700787" top="1" bottom="0.74803149606299202" header="0.15748031496063" footer="0.62992125984252001"/>
  <pageSetup paperSize="9" scale="59" orientation="landscape" r:id="rId1"/>
  <headerFooter>
    <oddFooter>&amp;L&amp;8&amp;F&amp;C&amp;P of &amp;N</oddFooter>
  </headerFooter>
  <rowBreaks count="5" manualBreakCount="5">
    <brk id="24" max="16383" man="1"/>
    <brk id="45" max="16383" man="1"/>
    <brk id="54" max="16383" man="1"/>
    <brk id="72" max="16383" man="1"/>
    <brk id="96" min="1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F24"/>
  <sheetViews>
    <sheetView zoomScale="62" zoomScaleNormal="62" zoomScaleSheetLayoutView="110" workbookViewId="0">
      <selection sqref="A1:F24"/>
    </sheetView>
  </sheetViews>
  <sheetFormatPr defaultRowHeight="18" x14ac:dyDescent="0.25"/>
  <cols>
    <col min="1" max="1" width="6.42578125" style="46" customWidth="1"/>
    <col min="2" max="2" width="15.7109375" style="46" customWidth="1"/>
    <col min="3" max="3" width="45.85546875" style="46" customWidth="1"/>
    <col min="4" max="4" width="25" style="46" customWidth="1"/>
    <col min="5" max="5" width="16.7109375" style="46" customWidth="1"/>
    <col min="6" max="6" width="44.5703125" style="46" customWidth="1"/>
    <col min="7" max="7" width="7.85546875" style="46" customWidth="1"/>
    <col min="8" max="8" width="10.28515625" style="46" customWidth="1"/>
    <col min="9" max="9" width="11.42578125" style="46" customWidth="1"/>
    <col min="10" max="10" width="25.7109375" style="46" customWidth="1"/>
    <col min="11" max="11" width="11.7109375" style="46" customWidth="1"/>
    <col min="12" max="16384" width="9.140625" style="46"/>
  </cols>
  <sheetData>
    <row r="1" spans="1:6" ht="12" customHeight="1" x14ac:dyDescent="0.25">
      <c r="A1" s="747"/>
      <c r="B1" s="747"/>
      <c r="C1" s="747"/>
      <c r="D1" s="747"/>
      <c r="E1" s="747"/>
      <c r="F1" s="747"/>
    </row>
    <row r="2" spans="1:6" ht="30.75" customHeight="1" x14ac:dyDescent="0.25">
      <c r="A2" s="747"/>
      <c r="B2" s="748" t="s">
        <v>213</v>
      </c>
      <c r="C2" s="748"/>
      <c r="D2" s="748"/>
      <c r="E2" s="748"/>
      <c r="F2" s="748"/>
    </row>
    <row r="3" spans="1:6" ht="30.75" customHeight="1" x14ac:dyDescent="0.25">
      <c r="A3" s="747"/>
      <c r="B3" s="748" t="s">
        <v>117</v>
      </c>
      <c r="C3" s="748"/>
      <c r="D3" s="748"/>
      <c r="E3" s="748"/>
      <c r="F3" s="748"/>
    </row>
    <row r="4" spans="1:6" ht="10.5" customHeight="1" thickBot="1" x14ac:dyDescent="0.3">
      <c r="A4" s="747"/>
      <c r="B4" s="747"/>
      <c r="C4" s="747"/>
      <c r="D4" s="747"/>
      <c r="E4" s="747"/>
      <c r="F4" s="747"/>
    </row>
    <row r="5" spans="1:6" ht="48.75" customHeight="1" thickBot="1" x14ac:dyDescent="0.3">
      <c r="A5" s="747"/>
      <c r="B5" s="749" t="s">
        <v>93</v>
      </c>
      <c r="C5" s="750" t="s">
        <v>94</v>
      </c>
      <c r="D5" s="751" t="s">
        <v>95</v>
      </c>
      <c r="E5" s="749" t="s">
        <v>96</v>
      </c>
      <c r="F5" s="749" t="s">
        <v>97</v>
      </c>
    </row>
    <row r="6" spans="1:6" ht="48.75" customHeight="1" x14ac:dyDescent="0.25">
      <c r="A6" s="747"/>
      <c r="B6" s="752" t="s">
        <v>203</v>
      </c>
      <c r="C6" s="753" t="s">
        <v>222</v>
      </c>
      <c r="D6" s="754" t="s">
        <v>6</v>
      </c>
      <c r="E6" s="755" t="s">
        <v>6</v>
      </c>
      <c r="F6" s="755" t="s">
        <v>6</v>
      </c>
    </row>
    <row r="7" spans="1:6" ht="45" customHeight="1" x14ac:dyDescent="0.25">
      <c r="A7" s="747"/>
      <c r="B7" s="756" t="s">
        <v>98</v>
      </c>
      <c r="C7" s="757" t="s">
        <v>103</v>
      </c>
      <c r="D7" s="758">
        <f>'Summary (Section B-H)'!J23</f>
        <v>15</v>
      </c>
      <c r="E7" s="759">
        <f>'Summary (Section B-H)'!P23</f>
        <v>0</v>
      </c>
      <c r="F7" s="760" t="s">
        <v>111</v>
      </c>
    </row>
    <row r="8" spans="1:6" ht="45" customHeight="1" x14ac:dyDescent="0.25">
      <c r="A8" s="747"/>
      <c r="B8" s="756" t="s">
        <v>99</v>
      </c>
      <c r="C8" s="757" t="s">
        <v>104</v>
      </c>
      <c r="D8" s="758">
        <f>'Summary (Section B-H)'!J44</f>
        <v>35</v>
      </c>
      <c r="E8" s="759">
        <f>'Summary (Section B-H)'!P44</f>
        <v>0</v>
      </c>
      <c r="F8" s="761" t="s">
        <v>112</v>
      </c>
    </row>
    <row r="9" spans="1:6" ht="45" customHeight="1" x14ac:dyDescent="0.25">
      <c r="A9" s="747"/>
      <c r="B9" s="756" t="s">
        <v>100</v>
      </c>
      <c r="C9" s="757" t="s">
        <v>105</v>
      </c>
      <c r="D9" s="758">
        <f>'Summary (Section B-H)'!J53</f>
        <v>10</v>
      </c>
      <c r="E9" s="759">
        <f>'Summary (Section B-H)'!P53</f>
        <v>0</v>
      </c>
      <c r="F9" s="761" t="s">
        <v>113</v>
      </c>
    </row>
    <row r="10" spans="1:6" ht="45" customHeight="1" x14ac:dyDescent="0.25">
      <c r="A10" s="747"/>
      <c r="B10" s="756" t="s">
        <v>101</v>
      </c>
      <c r="C10" s="757" t="s">
        <v>106</v>
      </c>
      <c r="D10" s="758">
        <f>'Summary (Section B-H)'!J70</f>
        <v>15</v>
      </c>
      <c r="E10" s="759">
        <f>'Summary (Section B-H)'!P70</f>
        <v>0</v>
      </c>
      <c r="F10" s="761" t="s">
        <v>114</v>
      </c>
    </row>
    <row r="11" spans="1:6" ht="45" customHeight="1" x14ac:dyDescent="0.25">
      <c r="A11" s="747"/>
      <c r="B11" s="756" t="s">
        <v>109</v>
      </c>
      <c r="C11" s="757" t="s">
        <v>107</v>
      </c>
      <c r="D11" s="758">
        <f>'Summary (Section B-H)'!J82</f>
        <v>10</v>
      </c>
      <c r="E11" s="759">
        <f>'Summary (Section B-H)'!P82</f>
        <v>0</v>
      </c>
      <c r="F11" s="761" t="s">
        <v>112</v>
      </c>
    </row>
    <row r="12" spans="1:6" ht="45" customHeight="1" x14ac:dyDescent="0.25">
      <c r="A12" s="747"/>
      <c r="B12" s="756" t="s">
        <v>110</v>
      </c>
      <c r="C12" s="757" t="s">
        <v>108</v>
      </c>
      <c r="D12" s="758">
        <f>'Summary (Section B-H)'!J94</f>
        <v>12.000000000000002</v>
      </c>
      <c r="E12" s="759">
        <f>'Summary (Section B-H)'!P94</f>
        <v>0</v>
      </c>
      <c r="F12" s="760" t="s">
        <v>115</v>
      </c>
    </row>
    <row r="13" spans="1:6" ht="45" customHeight="1" thickBot="1" x14ac:dyDescent="0.3">
      <c r="A13" s="747"/>
      <c r="B13" s="762" t="s">
        <v>129</v>
      </c>
      <c r="C13" s="763" t="s">
        <v>141</v>
      </c>
      <c r="D13" s="764">
        <f>'Summary (Section B-H)'!J109</f>
        <v>3</v>
      </c>
      <c r="E13" s="765">
        <f>'Summary (Section B-H)'!P109</f>
        <v>0</v>
      </c>
      <c r="F13" s="766" t="s">
        <v>116</v>
      </c>
    </row>
    <row r="14" spans="1:6" ht="45" customHeight="1" thickBot="1" x14ac:dyDescent="0.3">
      <c r="A14" s="747"/>
      <c r="B14" s="767" t="s">
        <v>102</v>
      </c>
      <c r="C14" s="768"/>
      <c r="D14" s="769">
        <f>SUM(D7:D13)</f>
        <v>100</v>
      </c>
      <c r="E14" s="770">
        <f>SUM(E7:E13)</f>
        <v>0</v>
      </c>
      <c r="F14" s="771"/>
    </row>
    <row r="15" spans="1:6" x14ac:dyDescent="0.25">
      <c r="A15" s="747"/>
      <c r="B15" s="772"/>
      <c r="C15" s="773"/>
      <c r="D15" s="774"/>
      <c r="E15" s="747"/>
      <c r="F15" s="747"/>
    </row>
    <row r="16" spans="1:6" ht="20.25" x14ac:dyDescent="0.25">
      <c r="A16" s="747"/>
      <c r="B16" s="775" t="s">
        <v>214</v>
      </c>
      <c r="C16" s="776"/>
      <c r="D16" s="776"/>
      <c r="E16" s="747"/>
      <c r="F16" s="747"/>
    </row>
    <row r="17" spans="1:6" x14ac:dyDescent="0.25">
      <c r="A17" s="747"/>
      <c r="B17" s="777" t="s">
        <v>215</v>
      </c>
      <c r="C17" s="776"/>
      <c r="D17" s="776"/>
      <c r="E17" s="747"/>
      <c r="F17" s="747"/>
    </row>
    <row r="18" spans="1:6" x14ac:dyDescent="0.25">
      <c r="A18" s="747"/>
      <c r="B18" s="777" t="s">
        <v>221</v>
      </c>
      <c r="C18" s="776"/>
      <c r="D18" s="776"/>
      <c r="E18" s="747"/>
      <c r="F18" s="747"/>
    </row>
    <row r="19" spans="1:6" x14ac:dyDescent="0.25">
      <c r="A19" s="747"/>
      <c r="B19" s="747"/>
      <c r="C19" s="747"/>
      <c r="D19" s="747"/>
      <c r="E19" s="747"/>
      <c r="F19" s="747"/>
    </row>
    <row r="20" spans="1:6" x14ac:dyDescent="0.25">
      <c r="A20" s="747"/>
      <c r="B20" s="747"/>
      <c r="C20" s="747"/>
      <c r="D20" s="747"/>
      <c r="E20" s="747"/>
      <c r="F20" s="747"/>
    </row>
    <row r="21" spans="1:6" ht="24.75" customHeight="1" x14ac:dyDescent="0.25">
      <c r="A21" s="747"/>
      <c r="B21" s="747"/>
      <c r="C21" s="747"/>
      <c r="D21" s="778" t="s">
        <v>223</v>
      </c>
      <c r="E21" s="779">
        <f>E14</f>
        <v>0</v>
      </c>
      <c r="F21" s="747"/>
    </row>
    <row r="22" spans="1:6" ht="24.75" customHeight="1" x14ac:dyDescent="0.25">
      <c r="A22" s="747"/>
      <c r="B22" s="747"/>
      <c r="C22" s="747"/>
      <c r="D22" s="778" t="s">
        <v>224</v>
      </c>
      <c r="E22" s="779">
        <f>SUM(E7:E9)</f>
        <v>0</v>
      </c>
      <c r="F22" s="747"/>
    </row>
    <row r="23" spans="1:6" x14ac:dyDescent="0.25">
      <c r="A23" s="747"/>
      <c r="B23" s="747"/>
      <c r="C23" s="747"/>
      <c r="D23" s="747"/>
      <c r="E23" s="747"/>
      <c r="F23" s="747"/>
    </row>
    <row r="24" spans="1:6" x14ac:dyDescent="0.25">
      <c r="A24" s="747"/>
      <c r="B24" s="747"/>
      <c r="C24" s="747"/>
      <c r="D24" s="747"/>
      <c r="E24" s="747"/>
      <c r="F24" s="747"/>
    </row>
  </sheetData>
  <sheetProtection algorithmName="SHA-512" hashValue="TP6cZiC72GKVsDRHzV5UxQwbMs1FPbt5tgzUSE6l+KEwqAVGhCJT4TeKLyC2xP3nkfXtb13e2Z6T55B43rBViA==" saltValue="gWDaFVb77o3D1U9ia0mZBw==" spinCount="100000" sheet="1" selectLockedCells="1" selectUnlockedCells="1"/>
  <mergeCells count="3">
    <mergeCell ref="B2:F2"/>
    <mergeCell ref="B14:C14"/>
    <mergeCell ref="B3:F3"/>
  </mergeCells>
  <pageMargins left="0.39370078740157483" right="0.43307086614173229" top="0.23622047244094491" bottom="0.43307086614173229" header="0.15748031496062992" footer="0.31496062992125984"/>
  <pageSetup paperSize="9" scale="9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Seksyen A</vt:lpstr>
      <vt:lpstr>Main</vt:lpstr>
      <vt:lpstr>Data (Section A-H)</vt:lpstr>
      <vt:lpstr>Summary (Section B-H)</vt:lpstr>
      <vt:lpstr>Result</vt:lpstr>
      <vt:lpstr>Main!Print_Area</vt:lpstr>
      <vt:lpstr>Result!Print_Area</vt:lpstr>
      <vt:lpstr>'Summary (Section B-H)'!Print_Area</vt:lpstr>
      <vt:lpstr>'Seksyen A'!Print_Titles</vt:lpstr>
    </vt:vector>
  </TitlesOfParts>
  <Company>Ministry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KPT</dc:creator>
  <cp:lastModifiedBy>Eloni Azmi</cp:lastModifiedBy>
  <cp:lastPrinted>2018-03-01T01:36:59Z</cp:lastPrinted>
  <dcterms:created xsi:type="dcterms:W3CDTF">2010-08-11T07:17:09Z</dcterms:created>
  <dcterms:modified xsi:type="dcterms:W3CDTF">2022-10-07T01:54:12Z</dcterms:modified>
</cp:coreProperties>
</file>